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rsrivastava-old/Documents/Madhuri/SeekEdgar LLC/Webdesign &amp; Video/"/>
    </mc:Choice>
  </mc:AlternateContent>
  <bookViews>
    <workbookView xWindow="0" yWindow="460" windowWidth="28800" windowHeight="16640" tabRatio="500"/>
  </bookViews>
  <sheets>
    <sheet name="data-4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</calcChain>
</file>

<file path=xl/sharedStrings.xml><?xml version="1.0" encoding="utf-8"?>
<sst xmlns="http://schemas.openxmlformats.org/spreadsheetml/2006/main" count="15137" uniqueCount="6921">
  <si>
    <t xml:space="preserve">ENTERED SEARCH FIELDS: </t>
  </si>
  <si>
    <t>TERM</t>
  </si>
  <si>
    <t xml:space="preserve"> RESOLUTION</t>
  </si>
  <si>
    <t xml:space="preserve"> DOCUMENT TYPE</t>
  </si>
  <si>
    <t xml:space="preserve"> COMPANY</t>
  </si>
  <si>
    <t xml:space="preserve"> DATE </t>
  </si>
  <si>
    <t xml:space="preserve">EXACT: litigation </t>
  </si>
  <si>
    <t>Paragraph (ALL)</t>
  </si>
  <si>
    <t xml:space="preserve">10-K &amp; 10-K/A &amp; 10-KT &amp; 10-KT/A &amp; 10-K405 &amp; 10-K405/A &amp; 10KT405 &amp; 10KT405/A &amp; 10KSB &amp; 10KSB/A &amp; 10KSB40 &amp; 10KSB40/A </t>
  </si>
  <si>
    <t>ALL</t>
  </si>
  <si>
    <t>FROM 2016 to 2016</t>
  </si>
  <si>
    <t>COMPANY NAME</t>
  </si>
  <si>
    <t xml:space="preserve"> CIK</t>
  </si>
  <si>
    <t xml:space="preserve"> SIC</t>
  </si>
  <si>
    <t xml:space="preserve"> DATE</t>
  </si>
  <si>
    <t xml:space="preserve"> FILE</t>
  </si>
  <si>
    <t xml:space="preserve"> SEC LINK </t>
  </si>
  <si>
    <t>MAJESCO ENTERTAINMENT CO</t>
  </si>
  <si>
    <t>10-K</t>
  </si>
  <si>
    <t>Oroplata Resources  Inc.</t>
  </si>
  <si>
    <t>Exceed World  Inc.</t>
  </si>
  <si>
    <t>10-KT</t>
  </si>
  <si>
    <t>PC Mobile Media Corp.</t>
  </si>
  <si>
    <t>ARK RESTAURANTS CORP</t>
  </si>
  <si>
    <t>CLEANSPARK  INC.</t>
  </si>
  <si>
    <t>NATIONAL HOLDINGS CORP</t>
  </si>
  <si>
    <t>LIVE VENTURES Inc</t>
  </si>
  <si>
    <t>Ominto  Inc.</t>
  </si>
  <si>
    <t>Citizens Community Bancorp Inc.</t>
  </si>
  <si>
    <t>First Savings Financial Group Inc</t>
  </si>
  <si>
    <t>Corning Natural Gas Holding Corp</t>
  </si>
  <si>
    <t>BALLY  CORP.</t>
  </si>
  <si>
    <t>AMBER GROUP INC</t>
  </si>
  <si>
    <t>Barrel Energy Inc.</t>
  </si>
  <si>
    <t>Oncobiologics  Inc.</t>
  </si>
  <si>
    <t>APP Incline Corp</t>
  </si>
  <si>
    <t>NORTH EUROPEAN OIL ROYALTY TRUST</t>
  </si>
  <si>
    <t>Taxus Cardium Pharmaceuticals Group Inc.</t>
  </si>
  <si>
    <t>Regional Brands Inc.</t>
  </si>
  <si>
    <t>MOHEGAN TRIBAL GAMING AUTHORITY</t>
  </si>
  <si>
    <t>CEMTREX INC</t>
  </si>
  <si>
    <t>China Xuefeng Environmental Engineering Inc.</t>
  </si>
  <si>
    <t>10-KAMEND</t>
  </si>
  <si>
    <t>Home Bancorp Wisconsin  Inc.</t>
  </si>
  <si>
    <t>BIOANALYTICAL SYSTEMS INC</t>
  </si>
  <si>
    <t>GO2GREEN LANDSCAPING  INC.</t>
  </si>
  <si>
    <t>VERIFONE SYSTEMS  INC.</t>
  </si>
  <si>
    <t>GULFSLOPE ENERGY  INC.</t>
  </si>
  <si>
    <t>GREEN DRAGON WOOD PRODUCTS  INC.</t>
  </si>
  <si>
    <t>General Agriculture Corp</t>
  </si>
  <si>
    <t>GOOD TIMES RESTAURANTS INC</t>
  </si>
  <si>
    <t>CALAVO GROWERS INC</t>
  </si>
  <si>
    <t>FLANIGANS ENTERPRISES INC</t>
  </si>
  <si>
    <t>Advanced BioEnergy  LLC</t>
  </si>
  <si>
    <t>Optex Systems Holdings Inc</t>
  </si>
  <si>
    <t>ALJ REGIONAL HOLDINGS INC</t>
  </si>
  <si>
    <t>Citius Pharmaceuticals  Inc.</t>
  </si>
  <si>
    <t>Force Protection Video Equipment Corp.</t>
  </si>
  <si>
    <t>Sipup Corp</t>
  </si>
  <si>
    <t>Terafox Corp</t>
  </si>
  <si>
    <t>Patheon N.V.</t>
  </si>
  <si>
    <t>Broadcom Ltd</t>
  </si>
  <si>
    <t>Broadcom Cayman L.P.</t>
  </si>
  <si>
    <t>ALTEX INDUSTRIES INC</t>
  </si>
  <si>
    <t>TOLL BROTHERS INC</t>
  </si>
  <si>
    <t>HERON THERAPEUTICS  INC. /DE/</t>
  </si>
  <si>
    <t>SEVCON  INC.</t>
  </si>
  <si>
    <t>TECHNICAL COMMUNICATIONS CORP</t>
  </si>
  <si>
    <t>SONIC FOUNDRY INC</t>
  </si>
  <si>
    <t>Ohr Pharmaceutical Inc</t>
  </si>
  <si>
    <t>ALBIREO PHARMA  INC.</t>
  </si>
  <si>
    <t>CREATIVE LEARNING Corp</t>
  </si>
  <si>
    <t>Moxian  Inc.</t>
  </si>
  <si>
    <t>GEE Group Inc.</t>
  </si>
  <si>
    <t>COOPER COMPANIES INC</t>
  </si>
  <si>
    <t>TORO CO</t>
  </si>
  <si>
    <t>PIEDMONT NATURAL GAS CO INC</t>
  </si>
  <si>
    <t>MYnd Analytics  Inc.</t>
  </si>
  <si>
    <t>CHINA HGS REAL ESTATE INC.</t>
  </si>
  <si>
    <t>IASIS Healthcare LLC</t>
  </si>
  <si>
    <t>PetLife Pharmaceuticals  Inc.</t>
  </si>
  <si>
    <t>MACOM Technology Solutions Holdings  Inc.</t>
  </si>
  <si>
    <t>TERRAFORM GLOBAL  INC.</t>
  </si>
  <si>
    <t>Versum Materials  Inc.</t>
  </si>
  <si>
    <t>DYNASIL CORP OF AMERICA</t>
  </si>
  <si>
    <t>EATON VANCE CORP</t>
  </si>
  <si>
    <t>GREIF INC</t>
  </si>
  <si>
    <t>HORMEL FOODS CORP /DE/</t>
  </si>
  <si>
    <t>ABM INDUSTRIES INC /DE/</t>
  </si>
  <si>
    <t>SECURITY LAND &amp; DEVELOPMENT CORP</t>
  </si>
  <si>
    <t>CIENA CORP</t>
  </si>
  <si>
    <t>OPTICAL CABLE CORP</t>
  </si>
  <si>
    <t>BARNWELL INDUSTRIES INC</t>
  </si>
  <si>
    <t>VALSPAR CORP</t>
  </si>
  <si>
    <t>Track Group  Inc.</t>
  </si>
  <si>
    <t>AGILENT TECHNOLOGIES INC</t>
  </si>
  <si>
    <t>IMAGING3 INC</t>
  </si>
  <si>
    <t>AEOLUS PHARMACEUTICALS  INC.</t>
  </si>
  <si>
    <t>Timberline Resources Corp</t>
  </si>
  <si>
    <t>Corium International  Inc.</t>
  </si>
  <si>
    <t>HOVNANIAN ENTERPRISES INC</t>
  </si>
  <si>
    <t>NAVISTAR INTERNATIONAL CORP</t>
  </si>
  <si>
    <t>PIONEER FINANCIAL SERVICES INC</t>
  </si>
  <si>
    <t>Bridgeline Digital  Inc.</t>
  </si>
  <si>
    <t>Keysight Technologies  Inc.</t>
  </si>
  <si>
    <t>GH Capital Inc.</t>
  </si>
  <si>
    <t>VALVOLINE INC</t>
  </si>
  <si>
    <t>PISMO COAST VILLAGE INC</t>
  </si>
  <si>
    <t>DEERE JOHN CAPITAL CORP</t>
  </si>
  <si>
    <t>DEERE &amp; CO</t>
  </si>
  <si>
    <t>BROCADE COMMUNICATIONS SYSTEMS INC</t>
  </si>
  <si>
    <t>CROWN MARKETING</t>
  </si>
  <si>
    <t>TX Holdings  Inc.</t>
  </si>
  <si>
    <t>Magyar Bancorp  Inc.</t>
  </si>
  <si>
    <t>DiMi Telematics International  Inc.</t>
  </si>
  <si>
    <t>Quanex Building Products CORP</t>
  </si>
  <si>
    <t>SOUTHWEST IOWA RENEWABLE ENERGY  LLC</t>
  </si>
  <si>
    <t>KILLER WAVES HAWAII  INC</t>
  </si>
  <si>
    <t>UNIFIED GROCERS  INC.</t>
  </si>
  <si>
    <t>IEC ELECTRONICS CORP</t>
  </si>
  <si>
    <t>JOY GLOBAL INC</t>
  </si>
  <si>
    <t>INNOVATIVE SOLUTIONS &amp; SUPPORT INC</t>
  </si>
  <si>
    <t>PARKS AMERICA  INC</t>
  </si>
  <si>
    <t>Dominovas Energy Corp</t>
  </si>
  <si>
    <t>Energy Services of America CORP</t>
  </si>
  <si>
    <t>VNUE  Inc.</t>
  </si>
  <si>
    <t>Blue Bird Corp</t>
  </si>
  <si>
    <t>RMR GROUP INC.</t>
  </si>
  <si>
    <t>Hewlett Packard Enterprise Co</t>
  </si>
  <si>
    <t>HEICO CORP</t>
  </si>
  <si>
    <t>HP INC</t>
  </si>
  <si>
    <t>APPLIED MATERIALS INC /DE</t>
  </si>
  <si>
    <t>NORDSON CORP</t>
  </si>
  <si>
    <t>SANDERSON FARMS INC</t>
  </si>
  <si>
    <t>PERVASIP CORP</t>
  </si>
  <si>
    <t>ASTA FUNDING INC</t>
  </si>
  <si>
    <t>XSUNX INC</t>
  </si>
  <si>
    <t>VIKING INVESTMENTS GROUP  INC.</t>
  </si>
  <si>
    <t>Sibannac  Inc.</t>
  </si>
  <si>
    <t>ANAVEX LIFE SCIENCES CORP.</t>
  </si>
  <si>
    <t>Wesco Aircraft Holdings  Inc</t>
  </si>
  <si>
    <t>ESSA Bancorp  Inc.</t>
  </si>
  <si>
    <t>Texas Mineral Resources Corp.</t>
  </si>
  <si>
    <t>SOUPMAN  INC.</t>
  </si>
  <si>
    <t>UBI Blockchain Internet LTD-DE</t>
  </si>
  <si>
    <t>HOMEOWNUSA</t>
  </si>
  <si>
    <t>CPI International Holding Corp.</t>
  </si>
  <si>
    <t>Service Team Inc.</t>
  </si>
  <si>
    <t>Stellar Biotechnologies  Inc.</t>
  </si>
  <si>
    <t>MALVERN BANCORP  INC.</t>
  </si>
  <si>
    <t>Fifth Street Senior Floating Rate Corp.</t>
  </si>
  <si>
    <t>PRUDENTIAL BANCORP  INC.</t>
  </si>
  <si>
    <t>Civitas Solutions  Inc.</t>
  </si>
  <si>
    <t>SIRRUS CORP.</t>
  </si>
  <si>
    <t>KMRB Acquisition Corp. II</t>
  </si>
  <si>
    <t>CEL SCI CORP</t>
  </si>
  <si>
    <t>DAILY JOURNAL CORP</t>
  </si>
  <si>
    <t>LANDAUER INC</t>
  </si>
  <si>
    <t>TROPIC INTERNATIONAL INC.</t>
  </si>
  <si>
    <t>PRINCETON CAPITAL CORP</t>
  </si>
  <si>
    <t>EZCORP INC</t>
  </si>
  <si>
    <t>ARROWHEAD PHARMACEUTICALS  INC.</t>
  </si>
  <si>
    <t>META FINANCIAL GROUP INC</t>
  </si>
  <si>
    <t>INTL FCSTONE INC.</t>
  </si>
  <si>
    <t>Cannabics Pharmaceuticals Inc.</t>
  </si>
  <si>
    <t>BRT REALTY TRUST</t>
  </si>
  <si>
    <t>AIRBORNE WIRELESS NETWORK</t>
  </si>
  <si>
    <t>CRYPTO-SERVICES  INC.</t>
  </si>
  <si>
    <t>JOHNSON OUTDOORS INC</t>
  </si>
  <si>
    <t>DIGI INTERNATIONAL INC</t>
  </si>
  <si>
    <t>ADDVANTAGE TECHNOLOGIES GROUP INC</t>
  </si>
  <si>
    <t>RCI HOSPITALITY HOLDINGS  INC.</t>
  </si>
  <si>
    <t>InfuSystem Holdings  Inc</t>
  </si>
  <si>
    <t>Global Fashion Technologies  Inc.</t>
  </si>
  <si>
    <t>Lincolnway Energy  LLC</t>
  </si>
  <si>
    <t>Snoogoo Corp.</t>
  </si>
  <si>
    <t>Wall Street Media Co  Inc.</t>
  </si>
  <si>
    <t>FairWind Energy Inc.</t>
  </si>
  <si>
    <t>CAPITAL SOUTHWEST CORP</t>
  </si>
  <si>
    <t>FORWARD INDUSTRIES INC</t>
  </si>
  <si>
    <t>FRP HOLDINGS  INC.</t>
  </si>
  <si>
    <t>Lifevantage Corp</t>
  </si>
  <si>
    <t>FEMALE HEALTH CO</t>
  </si>
  <si>
    <t>SYNOPSYS INC</t>
  </si>
  <si>
    <t>TIMBERLAND BANCORP INC</t>
  </si>
  <si>
    <t>IES Holdings  Inc.</t>
  </si>
  <si>
    <t>ENANTA PHARMACEUTICALS INC</t>
  </si>
  <si>
    <t>CHARTER FINANCIAL CORP</t>
  </si>
  <si>
    <t>BIGFOOT PROJECT INVESTMENTS INC</t>
  </si>
  <si>
    <t>LEE ENTERPRISES  INC</t>
  </si>
  <si>
    <t>MICROWAVE FILTER CO INC /NY/</t>
  </si>
  <si>
    <t>DLH Holdings Corp.</t>
  </si>
  <si>
    <t>MITEK SYSTEMS INC</t>
  </si>
  <si>
    <t>BIOLIFE SOLUTIONS INC</t>
  </si>
  <si>
    <t>KEY TECHNOLOGY INC</t>
  </si>
  <si>
    <t>RGC RESOURCES INC</t>
  </si>
  <si>
    <t>Warner Music Group Corp.</t>
  </si>
  <si>
    <t>Medley Capital Corp</t>
  </si>
  <si>
    <t>Natural Grocers by Vitamin Cottage  Inc.</t>
  </si>
  <si>
    <t>IMMAGE BIOTHERAPEUTICS CORP.</t>
  </si>
  <si>
    <t>Nexeo Solutions  Inc.</t>
  </si>
  <si>
    <t>ITUS Corp</t>
  </si>
  <si>
    <t>Santander Holdings USA  Inc.</t>
  </si>
  <si>
    <t>STAR GAS PARTNERS LP</t>
  </si>
  <si>
    <t>Classic Rules Judo Championships  Inc.</t>
  </si>
  <si>
    <t>Blake Insomnia Therapeutics  Inc.</t>
  </si>
  <si>
    <t>POWELL INDUSTRIES INC</t>
  </si>
  <si>
    <t>EMCORE CORP</t>
  </si>
  <si>
    <t>LRAD Corp</t>
  </si>
  <si>
    <t>MARINEMAX INC</t>
  </si>
  <si>
    <t>MacKenzie Realty Capital  Inc.</t>
  </si>
  <si>
    <t>GREENWOOD HALL  INC.</t>
  </si>
  <si>
    <t>My Cloudz  Inc.</t>
  </si>
  <si>
    <t>ALICO INC</t>
  </si>
  <si>
    <t>APPLIED DNA SCIENCES INC</t>
  </si>
  <si>
    <t>SIFCO INDUSTRIES INC</t>
  </si>
  <si>
    <t>WESTERN LUCRATIVE ENTERPRISES  INC.</t>
  </si>
  <si>
    <t>Sport Endurance  Inc.</t>
  </si>
  <si>
    <t>Arch Therapeutics  Inc.</t>
  </si>
  <si>
    <t>MILLENNIUM HEALTHCARE INC.</t>
  </si>
  <si>
    <t>TerraForm Power  Inc.</t>
  </si>
  <si>
    <t>PATRIOT TRANSPORTATION HOLDING  INC.</t>
  </si>
  <si>
    <t>DEBT RESOLVE INC</t>
  </si>
  <si>
    <t>Westbury Bancorp  Inc.</t>
  </si>
  <si>
    <t>GENCOR INDUSTRIES INC</t>
  </si>
  <si>
    <t>CENTRAL GARDEN &amp; PET CO</t>
  </si>
  <si>
    <t>SURMODICS INC</t>
  </si>
  <si>
    <t>MERITOR INC</t>
  </si>
  <si>
    <t>HENNESSY ADVISORS INC</t>
  </si>
  <si>
    <t>Apollo Acquisition Corp</t>
  </si>
  <si>
    <t>SweeGen  Inc.</t>
  </si>
  <si>
    <t>KNIGHT KNOX DEVELOPMENT CORP.</t>
  </si>
  <si>
    <t>Goliath Film &amp; Media Holdings</t>
  </si>
  <si>
    <t>UNIVERSAL TECHNICAL INSTITUTE INC</t>
  </si>
  <si>
    <t>Trafalgar Resources  Inc.</t>
  </si>
  <si>
    <t>BERRY PLASTICS GROUP INC</t>
  </si>
  <si>
    <t>NORTHERN MINERALS &amp; EXPLORATION LTD.</t>
  </si>
  <si>
    <t>HAMMER FIBER OPTICS HOLDINGS CORP</t>
  </si>
  <si>
    <t>LUBOA GROUP  INC.</t>
  </si>
  <si>
    <t>FundThatCompany</t>
  </si>
  <si>
    <t>AMTECH SYSTEMS INC</t>
  </si>
  <si>
    <t>EAGLE PHARMACEUTICALS  INC.</t>
  </si>
  <si>
    <t>UNITED REFINING CO</t>
  </si>
  <si>
    <t>UNITED REFINING CO /PA/</t>
  </si>
  <si>
    <t>KIANTONE PIPELINE CO</t>
  </si>
  <si>
    <t>KWIK FIL INC</t>
  </si>
  <si>
    <t>KWIK FILL CORP</t>
  </si>
  <si>
    <t>UNITED JET CENTER INC</t>
  </si>
  <si>
    <t>BELL OIL CORP</t>
  </si>
  <si>
    <t>PPC INC</t>
  </si>
  <si>
    <t>SUPER TEST PETROLEUM INC</t>
  </si>
  <si>
    <t>VULCAN ASPHALT REFINING CORP</t>
  </si>
  <si>
    <t>INDEPENDENT GASOLINE &amp; OIL CO OF ROCHESTER</t>
  </si>
  <si>
    <t>DESTINY MEDIA TECHNOLOGIES INC</t>
  </si>
  <si>
    <t>DELTA APPAREL  INC</t>
  </si>
  <si>
    <t>COUNTRY FAIR INC</t>
  </si>
  <si>
    <t>Enertopia Corp.</t>
  </si>
  <si>
    <t>Lexaria Bioscience Corp.</t>
  </si>
  <si>
    <t>Fifth Street Finance Corp.</t>
  </si>
  <si>
    <t>Capitol Federal Financial Inc</t>
  </si>
  <si>
    <t>Health Advance  Inc.</t>
  </si>
  <si>
    <t>Mallinckrodt plc</t>
  </si>
  <si>
    <t>Great Western Bancorp  Inc.</t>
  </si>
  <si>
    <t>Emerald Data Inc</t>
  </si>
  <si>
    <t>Fellazo Corp</t>
  </si>
  <si>
    <t>Atkore International Group Inc.</t>
  </si>
  <si>
    <t>Adient Ltd</t>
  </si>
  <si>
    <t>COHERENT INC</t>
  </si>
  <si>
    <t>MERIDIAN BIOSCIENCE INC</t>
  </si>
  <si>
    <t>KIANTONE PIPELINE CORP</t>
  </si>
  <si>
    <t>ESCO TECHNOLOGIES INC</t>
  </si>
  <si>
    <t>BROOKS AUTOMATION INC</t>
  </si>
  <si>
    <t>SkyPeople Fruit Juice  Inc</t>
  </si>
  <si>
    <t>SPDR GOLD TRUST</t>
  </si>
  <si>
    <t>CPSM  Inc.</t>
  </si>
  <si>
    <t>MONMOUTH REAL ESTATE INVESTMENT CORP</t>
  </si>
  <si>
    <t>SCOTTS MIRACLE-GRO CO</t>
  </si>
  <si>
    <t>ORAMED PHARMACEUTICALS INC.</t>
  </si>
  <si>
    <t>DTS8 COFFEE COMPANY  LTD.</t>
  </si>
  <si>
    <t>VitaCig  Inc.</t>
  </si>
  <si>
    <t>WestRock Co</t>
  </si>
  <si>
    <t>WALT DISNEY CO/</t>
  </si>
  <si>
    <t>SUBURBAN PROPANE PARTNERS LP</t>
  </si>
  <si>
    <t>BECTON DICKINSON &amp; CO</t>
  </si>
  <si>
    <t>HRG GROUP  INC.</t>
  </si>
  <si>
    <t>TFS Financial CORP</t>
  </si>
  <si>
    <t>Aramark</t>
  </si>
  <si>
    <t>GRASSHOPPER STAFFING  INC.</t>
  </si>
  <si>
    <t>Poverty Dignified  Inc.</t>
  </si>
  <si>
    <t>CABOT CORP</t>
  </si>
  <si>
    <t>LUBYS INC</t>
  </si>
  <si>
    <t>TRAQER CORP</t>
  </si>
  <si>
    <t>VARIAN MEDICAL SYSTEMS INC</t>
  </si>
  <si>
    <t>ESTERLINE TECHNOLOGIES CORP</t>
  </si>
  <si>
    <t>Helmerich &amp; Payne  Inc.</t>
  </si>
  <si>
    <t>JOHNSON CONTROLS INC</t>
  </si>
  <si>
    <t>Johnson Controls International plc</t>
  </si>
  <si>
    <t>MOHAWK INDUSTRIES INC</t>
  </si>
  <si>
    <t>Nuance Communications  Inc.</t>
  </si>
  <si>
    <t>UGI UTILITIES INC</t>
  </si>
  <si>
    <t>WASHINGTON GAS LIGHT CO</t>
  </si>
  <si>
    <t>WGL HOLDINGS INC</t>
  </si>
  <si>
    <t>BEACON ROOFING SUPPLY INC</t>
  </si>
  <si>
    <t>AMERISOURCEBERGEN CORP</t>
  </si>
  <si>
    <t>Mueller Water Products  Inc.</t>
  </si>
  <si>
    <t>Cardinal Ethanol LLC</t>
  </si>
  <si>
    <t>INCEPTION MINING INC.</t>
  </si>
  <si>
    <t>CAROLCO PICTURES  INC.</t>
  </si>
  <si>
    <t>PennantPark Floating Rate Capital Ltd.</t>
  </si>
  <si>
    <t>Terra Income Fund 6  Inc.</t>
  </si>
  <si>
    <t>CUBIC CORP /DE/</t>
  </si>
  <si>
    <t>NEW JERSEY RESOURCES CORP</t>
  </si>
  <si>
    <t>SKYWORKS SOLUTIONS  INC.</t>
  </si>
  <si>
    <t>JACOBS ENGINEERING GROUP INC /DE/</t>
  </si>
  <si>
    <t>ANALOG DEVICES INC</t>
  </si>
  <si>
    <t>MATTHEWS INTERNATIONAL CORP</t>
  </si>
  <si>
    <t>RAYMOND JAMES FINANCIAL INC</t>
  </si>
  <si>
    <t>OSHKOSH CORP</t>
  </si>
  <si>
    <t>J&amp;J SNACK FOODS CORP</t>
  </si>
  <si>
    <t>Clearfield  Inc.</t>
  </si>
  <si>
    <t>JACK IN THE BOX INC /NEW/</t>
  </si>
  <si>
    <t>TETRA TECH INC</t>
  </si>
  <si>
    <t>NORTHERN TECHNOLOGIES INTERNATIONAL CORP</t>
  </si>
  <si>
    <t>UGI CORP /PA/</t>
  </si>
  <si>
    <t>AMERIGAS PARTNERS LP</t>
  </si>
  <si>
    <t>TYSON FOODS INC</t>
  </si>
  <si>
    <t>MAXIMUS INC</t>
  </si>
  <si>
    <t>SolarWindow Technologies  Inc.</t>
  </si>
  <si>
    <t>GLADSTONE CAPITAL CORP</t>
  </si>
  <si>
    <t>LIQUIDITY SERVICES INC</t>
  </si>
  <si>
    <t>SemiLEDs Corp</t>
  </si>
  <si>
    <t>PENNANTPARK INVESTMENT CORP</t>
  </si>
  <si>
    <t>SAUER ENERGY  INC.</t>
  </si>
  <si>
    <t>Fidelity &amp; Guaranty Life</t>
  </si>
  <si>
    <t>ASHLAND GLOBAL HOLDINGS INC</t>
  </si>
  <si>
    <t>AIR PRODUCTS &amp; CHEMICALS INC /DE/</t>
  </si>
  <si>
    <t>WASHINGTON FEDERAL INC</t>
  </si>
  <si>
    <t>EDGEWELL PERSONAL CARE Co</t>
  </si>
  <si>
    <t>EASTGATE BIOTECH CORP</t>
  </si>
  <si>
    <t>MODEL N  INC.</t>
  </si>
  <si>
    <t>TD AMERITRADE HOLDING CORP</t>
  </si>
  <si>
    <t>Dolby Laboratories  Inc.</t>
  </si>
  <si>
    <t>National Graphite Corp</t>
  </si>
  <si>
    <t>Post Holdings  Inc.</t>
  </si>
  <si>
    <t>Recursos Queliz  Inc.</t>
  </si>
  <si>
    <t>DOCASA Inc.</t>
  </si>
  <si>
    <t>Paramount Supply Inc</t>
  </si>
  <si>
    <t>Messagebgone  Inc.</t>
  </si>
  <si>
    <t>NATIONAL FUEL GAS CO</t>
  </si>
  <si>
    <t>PLEXUS CORP</t>
  </si>
  <si>
    <t>STARBUCKS CORP</t>
  </si>
  <si>
    <t>PTC INC.</t>
  </si>
  <si>
    <t>WHOLE FOODS MARKET INC</t>
  </si>
  <si>
    <t>HORTON D R INC /DE/</t>
  </si>
  <si>
    <t>SANMINA CORP</t>
  </si>
  <si>
    <t>GEOSPACE TECHNOLOGIES CORP</t>
  </si>
  <si>
    <t>NUTRACEUTICAL INTERNATIONAL CORP</t>
  </si>
  <si>
    <t>Spectrum Brands Holdings  Inc.</t>
  </si>
  <si>
    <t>SB/RH Holdings  LLC</t>
  </si>
  <si>
    <t>FUSE ENTERPRISES INC.</t>
  </si>
  <si>
    <t>Hill-Rom Holdings  Inc.</t>
  </si>
  <si>
    <t>GRIFFON CORP</t>
  </si>
  <si>
    <t>KULICKE &amp; SOFFA INDUSTRIES INC</t>
  </si>
  <si>
    <t>HAYNES INTERNATIONAL INC</t>
  </si>
  <si>
    <t>HOLOGIC INC</t>
  </si>
  <si>
    <t>ALTAIR NANOTECHNOLOGIES INC</t>
  </si>
  <si>
    <t>Woodward  Inc.</t>
  </si>
  <si>
    <t>CABOT MICROELECTRONICS CORP</t>
  </si>
  <si>
    <t>GOLD LAKES CORP.</t>
  </si>
  <si>
    <t>Hillenbrand  Inc.</t>
  </si>
  <si>
    <t>Golub Capital BDC  Inc.</t>
  </si>
  <si>
    <t>China Soar Information Technology  Inc.</t>
  </si>
  <si>
    <t>MICROSEMI CORP</t>
  </si>
  <si>
    <t>EMERSON ELECTRIC CO</t>
  </si>
  <si>
    <t>AECOM</t>
  </si>
  <si>
    <t>HEADWATERS INC</t>
  </si>
  <si>
    <t>ROCKWELL AUTOMATION INC</t>
  </si>
  <si>
    <t>SPIRE INC</t>
  </si>
  <si>
    <t>ROCKWELL COLLINS INC</t>
  </si>
  <si>
    <t>TGI Solar Power Group Inc.</t>
  </si>
  <si>
    <t>Sally Beauty Holdings  Inc.</t>
  </si>
  <si>
    <t>Amazing Energy Oil &amp; Gas  Co.</t>
  </si>
  <si>
    <t>Tennessee Valley Authority</t>
  </si>
  <si>
    <t>TE Connectivity Ltd.</t>
  </si>
  <si>
    <t>VISA INC.</t>
  </si>
  <si>
    <t>Golden Matrix Group  Inc.</t>
  </si>
  <si>
    <t>iNeedMD Holdings  Inc.</t>
  </si>
  <si>
    <t>ENERGIZER HOLDINGS  INC.</t>
  </si>
  <si>
    <t>ALABAMA GAS CORP</t>
  </si>
  <si>
    <t>LACLEDE GAS CO</t>
  </si>
  <si>
    <t>MOOG INC.</t>
  </si>
  <si>
    <t>ECOLOGY &amp; ENVIRONMENT INC</t>
  </si>
  <si>
    <t>ATWOOD OCEANICS INC</t>
  </si>
  <si>
    <t>LIGAND PHARMACEUTICALS INC</t>
  </si>
  <si>
    <t>BEAZER HOMES USA INC</t>
  </si>
  <si>
    <t>Sugarmade  Inc.</t>
  </si>
  <si>
    <t>SIMULATIONS PLUS INC</t>
  </si>
  <si>
    <t>World Moto  Inc.</t>
  </si>
  <si>
    <t>Ameri Metro  Inc. (formerly Yellowwood)</t>
  </si>
  <si>
    <t>RMR Industrials  Inc.</t>
  </si>
  <si>
    <t>10-KTAMEND</t>
  </si>
  <si>
    <t>Eye On Media Network  Inc.</t>
  </si>
  <si>
    <t>PANAMERA HEALTHCARE Corp</t>
  </si>
  <si>
    <t>FRANKLIN RESOURCES INC</t>
  </si>
  <si>
    <t>ATMOS ENERGY CORP</t>
  </si>
  <si>
    <t>JUNIPER PHARMACEUTICALS INC</t>
  </si>
  <si>
    <t>CHASE CORP</t>
  </si>
  <si>
    <t>ZEBRA TECHNOLOGIES CORP</t>
  </si>
  <si>
    <t>FRANKLIN COVEY CO</t>
  </si>
  <si>
    <t>DATAWATCH CORP</t>
  </si>
  <si>
    <t>FAIR ISAAC CORP</t>
  </si>
  <si>
    <t>STONEMOR PARTNERS LP</t>
  </si>
  <si>
    <t>Viacom Inc.</t>
  </si>
  <si>
    <t>Photoamigo  Inc.</t>
  </si>
  <si>
    <t>ALLIANCE BIOENERGY PLUS  INC.</t>
  </si>
  <si>
    <t>VYCOR MEDICAL INC</t>
  </si>
  <si>
    <t>ASTIKA HOLDINGS INC.</t>
  </si>
  <si>
    <t>Grand Perfecta  Inc.</t>
  </si>
  <si>
    <t>AMCON DISTRIBUTING CO</t>
  </si>
  <si>
    <t>Takung Art Co.  Ltd.</t>
  </si>
  <si>
    <t>F5 NETWORKS INC</t>
  </si>
  <si>
    <t>WSI INDUSTRIES  INC.</t>
  </si>
  <si>
    <t>BUSINESS.VN  INC.</t>
  </si>
  <si>
    <t>Bollente Companies Inc.</t>
  </si>
  <si>
    <t>Intrawest Resorts Holdings  Inc.</t>
  </si>
  <si>
    <t>Kush Bottles  Inc.</t>
  </si>
  <si>
    <t>CHS INC</t>
  </si>
  <si>
    <t>ID Global Solutions Corp</t>
  </si>
  <si>
    <t>Odyssey Group International  Inc.</t>
  </si>
  <si>
    <t>QUALCOMM INC/DE</t>
  </si>
  <si>
    <t>JEWETT CAMERON TRADING CO LTD</t>
  </si>
  <si>
    <t>MSC INDUSTRIAL DIRECT CO INC</t>
  </si>
  <si>
    <t>SPIRIT REALTY CAPITAL  INC.</t>
  </si>
  <si>
    <t>CMG HOLDINGS GROUP  INC.</t>
  </si>
  <si>
    <t>HELIUS MEDICAL TECHNOLOGIES  INC.</t>
  </si>
  <si>
    <t>FACTSET RESEARCH SYSTEMS INC</t>
  </si>
  <si>
    <t>Panex Resources Inc.</t>
  </si>
  <si>
    <t>THERAPEUTIC SOLUTIONS INTERNATIONAL  INC.</t>
  </si>
  <si>
    <t>XIANGTIAN (USA) AIR POWER CO.  LTD.</t>
  </si>
  <si>
    <t>Praco Corp</t>
  </si>
  <si>
    <t>Akoustis Technologies  Inc.</t>
  </si>
  <si>
    <t>FRONTERA GROUP INC.</t>
  </si>
  <si>
    <t>BRIDGEWATER PLATFORMS INC.</t>
  </si>
  <si>
    <t>COMMERCIAL METALS CO</t>
  </si>
  <si>
    <t>OAKRIDGE HOLDINGS INC</t>
  </si>
  <si>
    <t>CASTLE HOLDING CORP</t>
  </si>
  <si>
    <t>CARDIFF INTERNATIONAL INC</t>
  </si>
  <si>
    <t>SONIC CORP</t>
  </si>
  <si>
    <t>TRINITY CAPITAL CORP</t>
  </si>
  <si>
    <t>SYCAMORE NETWORKS INC</t>
  </si>
  <si>
    <t>RedHawk Holdings Corp.</t>
  </si>
  <si>
    <t>OPIANT PHARMACEUTICALS  INC.</t>
  </si>
  <si>
    <t>Accenture plc</t>
  </si>
  <si>
    <t>Accenture Holdings plc</t>
  </si>
  <si>
    <t>PURE CYCLE CORP</t>
  </si>
  <si>
    <t>ACTUANT CORP</t>
  </si>
  <si>
    <t>MICRON TECHNOLOGY INC</t>
  </si>
  <si>
    <t>INSTEEL INDUSTRIES INC</t>
  </si>
  <si>
    <t>GYMBOREE CORP</t>
  </si>
  <si>
    <t>ARI NETWORK SERVICES INC /WI</t>
  </si>
  <si>
    <t>Onstream Media CORP</t>
  </si>
  <si>
    <t>HYPERDYNAMICS CORP</t>
  </si>
  <si>
    <t>PURE BIOSCIENCE  INC.</t>
  </si>
  <si>
    <t>Digerati Technologies  Inc.</t>
  </si>
  <si>
    <t>PRICESMART INC</t>
  </si>
  <si>
    <t>AMAIZE BEVERAGE Corp</t>
  </si>
  <si>
    <t>ACUITY BRANDS INC</t>
  </si>
  <si>
    <t>Medbook World  Inc</t>
  </si>
  <si>
    <t>Santander Consumer USA Holdings Inc.</t>
  </si>
  <si>
    <t>MAGELLAN PETROLEUM CORP /DE/</t>
  </si>
  <si>
    <t>Zedge  Inc.</t>
  </si>
  <si>
    <t>APPLE INC</t>
  </si>
  <si>
    <t>UNIFIRST CORP</t>
  </si>
  <si>
    <t>SCHULMAN A INC</t>
  </si>
  <si>
    <t>NON INVASIVE MONITORING SYSTEMS INC /FL/</t>
  </si>
  <si>
    <t>SCHNITZER STEEL INDUSTRIES INC</t>
  </si>
  <si>
    <t>GREENBRIER COMPANIES INC</t>
  </si>
  <si>
    <t>WD 40 CO</t>
  </si>
  <si>
    <t>Nuo Therapeutics  Inc.</t>
  </si>
  <si>
    <t>Unilife Corp</t>
  </si>
  <si>
    <t>AUTOZONE INC</t>
  </si>
  <si>
    <t>CONCIERGE TECHNOLOGIES INC</t>
  </si>
  <si>
    <t>First Priority Tax Solutions Inc.</t>
  </si>
  <si>
    <t>alpha-En Corp</t>
  </si>
  <si>
    <t>PROSPECT CAPITAL CORP</t>
  </si>
  <si>
    <t>Walgreens Boots Alliance  Inc.</t>
  </si>
  <si>
    <t>ITEX CORP</t>
  </si>
  <si>
    <t>JABIL CIRCUIT INC</t>
  </si>
  <si>
    <t>APOLLO EDUCATION GROUP INC</t>
  </si>
  <si>
    <t>POWERVERDE  INC.</t>
  </si>
  <si>
    <t>MONSANTO CO /NEW/</t>
  </si>
  <si>
    <t>WINNEBAGO INDUSTRIES INC</t>
  </si>
  <si>
    <t>Lithium Exploration Group  Inc.</t>
  </si>
  <si>
    <t>Science to Consumers  Inc.</t>
  </si>
  <si>
    <t>LINDSAY CORP</t>
  </si>
  <si>
    <t>Keyuan Petrochemicals  Inc.</t>
  </si>
  <si>
    <t>ECO Building Products  Inc.</t>
  </si>
  <si>
    <t>ADVANCED CREDIT TECHNOLOGIES INC</t>
  </si>
  <si>
    <t>Life Clips  Inc.</t>
  </si>
  <si>
    <t>IDT CORP</t>
  </si>
  <si>
    <t>KMG CHEMICALS INC</t>
  </si>
  <si>
    <t>IMPLANT SCIENCES CORP</t>
  </si>
  <si>
    <t>Manasota Group  Inc.</t>
  </si>
  <si>
    <t>NuSTATE ENERGY HOLDINGS  INC.</t>
  </si>
  <si>
    <t>TAURIGA SCIENCES  INC.</t>
  </si>
  <si>
    <t>URANIUM ENERGY CORP</t>
  </si>
  <si>
    <t>SBH ASSOCIATES  INC.</t>
  </si>
  <si>
    <t>TAXUS PHARMACEUTICALS HOLDINGS  INC.</t>
  </si>
  <si>
    <t>AMERICAN ENERGY GROUP LTD</t>
  </si>
  <si>
    <t>ModusLink Global Solutions Inc</t>
  </si>
  <si>
    <t>Sevion Therapeutics  Inc.</t>
  </si>
  <si>
    <t>AS-IP TECH INC</t>
  </si>
  <si>
    <t>FREESTONE RESOURCES  INC.</t>
  </si>
  <si>
    <t>SANGUI BIOTECH INTERNATIONAL INC</t>
  </si>
  <si>
    <t>Provision Holding  Inc.</t>
  </si>
  <si>
    <t>Cavitation Technologies  Inc.</t>
  </si>
  <si>
    <t>INFRAX SYSTEMS  INC.</t>
  </si>
  <si>
    <t>QUANTUMSPHERE  INC.</t>
  </si>
  <si>
    <t>iBio  Inc.</t>
  </si>
  <si>
    <t>WEARABLE HEALTH SOLUTIONS  INC.</t>
  </si>
  <si>
    <t>ONCOSEC MEDICAL Inc</t>
  </si>
  <si>
    <t>VAPOR HUB INTERNATIONAL INC.</t>
  </si>
  <si>
    <t>PURESNAX INTERNATIONAL  INC.</t>
  </si>
  <si>
    <t>Straight Path Communications Inc.</t>
  </si>
  <si>
    <t>Knowledge Machine International  Inc.</t>
  </si>
  <si>
    <t>HEAVENSTONE CORP</t>
  </si>
  <si>
    <t>KokiCare  Inc.</t>
  </si>
  <si>
    <t>Interlink Plus  Inc.</t>
  </si>
  <si>
    <t>ENZO BIOCHEM INC</t>
  </si>
  <si>
    <t>PHI GROUP INC</t>
  </si>
  <si>
    <t>UPD HOLDING CORP.</t>
  </si>
  <si>
    <t>ALADDIN INTERNATIONAL INC /MN/</t>
  </si>
  <si>
    <t>VILLAGE SUPER MARKET INC</t>
  </si>
  <si>
    <t>DEXTERA SURGICAL INC</t>
  </si>
  <si>
    <t>Function(x) Inc.</t>
  </si>
  <si>
    <t>ESCALON MEDICAL CORP</t>
  </si>
  <si>
    <t>COSTCO WHOLESALE CORP /NEW</t>
  </si>
  <si>
    <t>Wincash Apolo Gold &amp; Energy  Inc.</t>
  </si>
  <si>
    <t>AREM PACIFIC Corp</t>
  </si>
  <si>
    <t>IONIX TECHNOLOGY  INC.</t>
  </si>
  <si>
    <t>SoOum Corp.</t>
  </si>
  <si>
    <t>SCIENTIFIC INDUSTRIES INC</t>
  </si>
  <si>
    <t>Apigee Corp</t>
  </si>
  <si>
    <t>Li3 Energy  Inc.</t>
  </si>
  <si>
    <t>Almost Never Films Inc.</t>
  </si>
  <si>
    <t>DS HEALTHCARE GROUP  INC.</t>
  </si>
  <si>
    <t>Freedom Leaf Inc.</t>
  </si>
  <si>
    <t>OIL DRI CORP OF AMERICA</t>
  </si>
  <si>
    <t>China Green Agriculture  Inc.</t>
  </si>
  <si>
    <t>Nate's Food Co.</t>
  </si>
  <si>
    <t>Pingtan Marine Enterprise Ltd.</t>
  </si>
  <si>
    <t>CLS Holdings USA  Inc.</t>
  </si>
  <si>
    <t>COMTECH TELECOMMUNICATIONS CORP /DE/</t>
  </si>
  <si>
    <t>MAYS J W INC</t>
  </si>
  <si>
    <t>AOXING PHARMACEUTICAL COMPANY  INC.</t>
  </si>
  <si>
    <t>Simlatus Corp</t>
  </si>
  <si>
    <t>Generation NEXT Franchise Brands  Inc.</t>
  </si>
  <si>
    <t>E-WORLD USA HOLDING INC</t>
  </si>
  <si>
    <t>Rocky Mountain High Brands  Inc.</t>
  </si>
  <si>
    <t>BAKKEN RESOURCES INC</t>
  </si>
  <si>
    <t>Canfield Medical Supply  Inc.</t>
  </si>
  <si>
    <t>Microphase Corp</t>
  </si>
  <si>
    <t>CYTORI THERAPEUTICS  INC.</t>
  </si>
  <si>
    <t>Golden Star Resource Corp.</t>
  </si>
  <si>
    <t>Mantra Venture Group Ltd.</t>
  </si>
  <si>
    <t>APPYEA  INC</t>
  </si>
  <si>
    <t>WIGI4YOU  INC.</t>
  </si>
  <si>
    <t>CLOROX CO /DE/</t>
  </si>
  <si>
    <t>TRIO-TECH INTERNATIONAL</t>
  </si>
  <si>
    <t>SUNLINK HEALTH SYSTEMS INC</t>
  </si>
  <si>
    <t>ALANCO TECHNOLOGIES INC</t>
  </si>
  <si>
    <t>ASTROTECH Corp</t>
  </si>
  <si>
    <t>China Health Industries Holdings  Inc.</t>
  </si>
  <si>
    <t>Genius Brands International  Inc.</t>
  </si>
  <si>
    <t>BOWL AMERICA INC</t>
  </si>
  <si>
    <t>SYNTHESIS ENERGY SYSTEMS INC</t>
  </si>
  <si>
    <t>Horsehead Holding Corp</t>
  </si>
  <si>
    <t>Samson Oil &amp; Gas LTD</t>
  </si>
  <si>
    <t>CHINA MEDIA INC.</t>
  </si>
  <si>
    <t>American Renaissance Capital  Inc.</t>
  </si>
  <si>
    <t>XFIT BRANDS  INC.</t>
  </si>
  <si>
    <t>CANTEL MEDICAL CORP</t>
  </si>
  <si>
    <t>FERRELLGAS PARTNERS FINANCE CORP</t>
  </si>
  <si>
    <t>UNITED NATURAL FOODS INC</t>
  </si>
  <si>
    <t>UNIVERSAL SECURITY INSTRUMENTS INC</t>
  </si>
  <si>
    <t>bebe stores  inc.</t>
  </si>
  <si>
    <t>GREENE COUNTY BANCORP INC</t>
  </si>
  <si>
    <t>Kentucky First Federal Bancorp</t>
  </si>
  <si>
    <t>Digital Realty Trust  Inc.</t>
  </si>
  <si>
    <t>SHINECO  INC.</t>
  </si>
  <si>
    <t>SmartMetric  Inc.</t>
  </si>
  <si>
    <t>Energizer Resources  Inc.</t>
  </si>
  <si>
    <t>W&amp;E Source Corp.</t>
  </si>
  <si>
    <t>China Advanced Construction Materials Group  Inc</t>
  </si>
  <si>
    <t>LIBERTY SILVER CORP</t>
  </si>
  <si>
    <t>Portlogic Systems Inc.</t>
  </si>
  <si>
    <t>Recon Technology  Ltd</t>
  </si>
  <si>
    <t>Full Circle Capital Corp</t>
  </si>
  <si>
    <t>Digital Realty Trust  L.P.</t>
  </si>
  <si>
    <t>AntriaBio  Inc.</t>
  </si>
  <si>
    <t>Propanc Health Group Corp</t>
  </si>
  <si>
    <t>Global Seed Corp</t>
  </si>
  <si>
    <t>DanDrit Biotech USA  Inc.</t>
  </si>
  <si>
    <t>Green Meadow Products  Inc.</t>
  </si>
  <si>
    <t>Truett-Hurst  Inc.</t>
  </si>
  <si>
    <t>Perkins Oil &amp; Gas  Inc.</t>
  </si>
  <si>
    <t>BIOVIE INC.</t>
  </si>
  <si>
    <t>Rasna Therapeutics Inc.</t>
  </si>
  <si>
    <t>ContraVir Pharmaceuticals  Inc.</t>
  </si>
  <si>
    <t>NightFood Holdings  Inc.</t>
  </si>
  <si>
    <t>ETF Managers Group Commodity Trust I</t>
  </si>
  <si>
    <t>DATASEA INC.</t>
  </si>
  <si>
    <t>Pacific Special Acquisition Corp.</t>
  </si>
  <si>
    <t>FONAR CORP</t>
  </si>
  <si>
    <t>INTERGROUP CORP</t>
  </si>
  <si>
    <t>DYNATRONICS CORP</t>
  </si>
  <si>
    <t>FRANKLIN WIRELESS CORP</t>
  </si>
  <si>
    <t>PORTSMOUTH SQUARE INC</t>
  </si>
  <si>
    <t>PROCYON CORP</t>
  </si>
  <si>
    <t>AFTERMASTER  INC.</t>
  </si>
  <si>
    <t>SANTA FE FINANCIAL CORP</t>
  </si>
  <si>
    <t>PRECISION OPTICS CORPORATION  INC.</t>
  </si>
  <si>
    <t>INTERNATIONAL BARRIER TECHNOLOGY INC</t>
  </si>
  <si>
    <t>COPART INC</t>
  </si>
  <si>
    <t>FERRELLGAS PARTNERS L P</t>
  </si>
  <si>
    <t>FERRELLGAS L P</t>
  </si>
  <si>
    <t>FERRELLGAS FINANCE CORP</t>
  </si>
  <si>
    <t>KAANAPALI LAND LLC</t>
  </si>
  <si>
    <t>Dynamic Gold Corp.</t>
  </si>
  <si>
    <t>Energy XXI Ltd</t>
  </si>
  <si>
    <t>Neiman Marcus Group LTD LLC</t>
  </si>
  <si>
    <t>Luvu Brands  Inc.</t>
  </si>
  <si>
    <t>GROW CONDOS  INC.</t>
  </si>
  <si>
    <t>CEREBAIN BIOTECH CORP.</t>
  </si>
  <si>
    <t>United Community Bancorp</t>
  </si>
  <si>
    <t>EMS FIND  INC.</t>
  </si>
  <si>
    <t>Lotus Biotech Development Corp.</t>
  </si>
  <si>
    <t>WORLDS ONLINE INC.</t>
  </si>
  <si>
    <t>MJP INTERNATIONAL LTD.</t>
  </si>
  <si>
    <t>PetroGas Co</t>
  </si>
  <si>
    <t>Atlas Technology International  Inc.</t>
  </si>
  <si>
    <t>Rito Group Corp.</t>
  </si>
  <si>
    <t>ANALOGIC CORP</t>
  </si>
  <si>
    <t>Elite Data Services  Inc.</t>
  </si>
  <si>
    <t>CLOUDCOMMERCE  INC.</t>
  </si>
  <si>
    <t>CALIFORNIA FIRST NATIONAL BANCORP</t>
  </si>
  <si>
    <t>ADMIRAL FINANCIAL CORP</t>
  </si>
  <si>
    <t>LIFETIME BRANDS  INC</t>
  </si>
  <si>
    <t>AUTHENTIDATE HOLDING CORP</t>
  </si>
  <si>
    <t>CRACKER BARREL OLD COUNTRY STORE  INC</t>
  </si>
  <si>
    <t>Flux Power Holdings  Inc.</t>
  </si>
  <si>
    <t>AMARU INC</t>
  </si>
  <si>
    <t>First America Resources Corp</t>
  </si>
  <si>
    <t>Sequoia Mortgage Trust 2012-1</t>
  </si>
  <si>
    <t>Sequoia Mortgage Trust 2012-2</t>
  </si>
  <si>
    <t>Sequoia Mortgage Trust 2012-3</t>
  </si>
  <si>
    <t>Sequoia Mortgage Trust 2012-5</t>
  </si>
  <si>
    <t>Sequoia Mortgage Trust 2012-6</t>
  </si>
  <si>
    <t>Sequoia Mortgage Trust 2013-1</t>
  </si>
  <si>
    <t>Sequoia Mortgage Trust 2013-4</t>
  </si>
  <si>
    <t>Sequoia Mortgage Trust 2013-7</t>
  </si>
  <si>
    <t>Sequoia Mortgage Trust 2013-8</t>
  </si>
  <si>
    <t>PB Bancorp  Inc.</t>
  </si>
  <si>
    <t>THOR INDUSTRIES INC</t>
  </si>
  <si>
    <t>VAIL RESORTS INC</t>
  </si>
  <si>
    <t>MAM SOFTWARE GROUP  INC.</t>
  </si>
  <si>
    <t>QUANTUM MATERIALS CORP.</t>
  </si>
  <si>
    <t>United Cannabis Corp</t>
  </si>
  <si>
    <t>A-Mark Precious Metals  Inc.</t>
  </si>
  <si>
    <t>MW Bancorp  Inc.</t>
  </si>
  <si>
    <t>MARIPOSA HEALTH  INC.</t>
  </si>
  <si>
    <t>DONALDSON CO INC</t>
  </si>
  <si>
    <t>MARINE PETROLEUM TRUST</t>
  </si>
  <si>
    <t>RAVE RESTAURANT GROUP  INC.</t>
  </si>
  <si>
    <t>ALLIED HEALTHCARE PRODUCTS INC</t>
  </si>
  <si>
    <t>AMERITYRE CORP</t>
  </si>
  <si>
    <t>CONSUMERS BANCORP INC /OH/</t>
  </si>
  <si>
    <t>INFOBLOX INC</t>
  </si>
  <si>
    <t>CAMPBELL SOUP CO</t>
  </si>
  <si>
    <t>VITRO DIAGNOSTICS INC</t>
  </si>
  <si>
    <t>ARKADOS GROUP  INC.</t>
  </si>
  <si>
    <t>CESCA THERAPEUTICS INC.</t>
  </si>
  <si>
    <t>Baying Ecological Holding Group Inc.</t>
  </si>
  <si>
    <t>U.S. RARE EARTH MINERALS  INC</t>
  </si>
  <si>
    <t>EnzymeBioSystems</t>
  </si>
  <si>
    <t>ECOSCIENCES  INC.</t>
  </si>
  <si>
    <t>EnviroStar  Inc.</t>
  </si>
  <si>
    <t>Adama Technologies Corp</t>
  </si>
  <si>
    <t>Sino-Global Shipping America  Ltd.</t>
  </si>
  <si>
    <t>Wintahenderson International  Inc.</t>
  </si>
  <si>
    <t>Ascena Retail Group  Inc.</t>
  </si>
  <si>
    <t>Summit Networks Inc.</t>
  </si>
  <si>
    <t>Sino Fortune Holding Corp</t>
  </si>
  <si>
    <t>NATURAL ALTERNATIVES INTERNATIONAL INC</t>
  </si>
  <si>
    <t>BION ENVIRONMENTAL TECHNOLOGIES INC</t>
  </si>
  <si>
    <t>PALATIN TECHNOLOGIES INC</t>
  </si>
  <si>
    <t>1 800 FLOWERS COM INC</t>
  </si>
  <si>
    <t>STERLING GROUP VENTURES INC</t>
  </si>
  <si>
    <t>NANOVIRICIDES  INC.</t>
  </si>
  <si>
    <t>Point.360</t>
  </si>
  <si>
    <t>IF Bancorp  Inc.</t>
  </si>
  <si>
    <t>Xcerra Corp</t>
  </si>
  <si>
    <t>NETSOL TECHNOLOGIES INC</t>
  </si>
  <si>
    <t>S&amp;W Seed Co</t>
  </si>
  <si>
    <t>Enerpulse Technologies  Inc.</t>
  </si>
  <si>
    <t>Guidewire Software  Inc.</t>
  </si>
  <si>
    <t>ADVANCED DRAINAGE SYSTEMS  INC.</t>
  </si>
  <si>
    <t>BRADY CORP</t>
  </si>
  <si>
    <t>PRO DEX INC</t>
  </si>
  <si>
    <t>LIGHTPATH TECHNOLOGIES INC</t>
  </si>
  <si>
    <t>WVS FINANCIAL CORP</t>
  </si>
  <si>
    <t>Great Elm Capital Group  Inc.</t>
  </si>
  <si>
    <t>FARMER BROTHERS CO</t>
  </si>
  <si>
    <t>U S GLOBAL INVESTORS INC</t>
  </si>
  <si>
    <t>MERCARI COMMUNICATIONS GROUP LTD</t>
  </si>
  <si>
    <t>TWIN DISC INC</t>
  </si>
  <si>
    <t>EGAIN Corp</t>
  </si>
  <si>
    <t>RADIANT LOGISTICS  INC</t>
  </si>
  <si>
    <t>pSivida Corp.</t>
  </si>
  <si>
    <t>HK EBUS Corp</t>
  </si>
  <si>
    <t>Cellceutix CORP</t>
  </si>
  <si>
    <t>MUSIC OF YOUR LIFE INC</t>
  </si>
  <si>
    <t>Chineseinvestors.com  Inc.</t>
  </si>
  <si>
    <t>Oritani Financial Corp</t>
  </si>
  <si>
    <t>Cell MedX Corp.</t>
  </si>
  <si>
    <t>DelMar Pharmaceuticals  Inc.</t>
  </si>
  <si>
    <t>PANTHER BIOTECHNOLOGY  INC.</t>
  </si>
  <si>
    <t>HomeTrust Bancshares  Inc.</t>
  </si>
  <si>
    <t>SavDen Group Corp.</t>
  </si>
  <si>
    <t>Aviragen Therapeutics  Inc.</t>
  </si>
  <si>
    <t>NORTHEAST BANCORP /ME/</t>
  </si>
  <si>
    <t>CELADON GROUP INC</t>
  </si>
  <si>
    <t>USA TECHNOLOGIES INC</t>
  </si>
  <si>
    <t>SOUTHERN MISSOURI BANCORP INC</t>
  </si>
  <si>
    <t>PROVIDENT FINANCIAL HOLDINGS INC</t>
  </si>
  <si>
    <t>APPLIED GENETIC TECHNOLOGIES CORP</t>
  </si>
  <si>
    <t>ShoreTel Inc</t>
  </si>
  <si>
    <t>CN Resources Inc.</t>
  </si>
  <si>
    <t>ESPEY MFG &amp; ELECTRONICS CORP</t>
  </si>
  <si>
    <t>Eagle Mountain Corp</t>
  </si>
  <si>
    <t>EVOLUTION PETROLEUM CORP</t>
  </si>
  <si>
    <t>PETRONE WORLDWIDE  INC.</t>
  </si>
  <si>
    <t>General Finance CORP</t>
  </si>
  <si>
    <t>AVIAT NETWORKS  INC.</t>
  </si>
  <si>
    <t>Anchor Bancorp</t>
  </si>
  <si>
    <t>Yangtze River Development Ltd</t>
  </si>
  <si>
    <t>RELMADA THERAPEUTICS  INC.</t>
  </si>
  <si>
    <t>First Northwest Bancorp</t>
  </si>
  <si>
    <t>Malibu Boats  Inc.</t>
  </si>
  <si>
    <t>KLX Inc.</t>
  </si>
  <si>
    <t>MCBC Holdings  Inc.</t>
  </si>
  <si>
    <t>Capstone Systems Inc</t>
  </si>
  <si>
    <t>KEY TRONIC CORP</t>
  </si>
  <si>
    <t>IsoRay  Inc.</t>
  </si>
  <si>
    <t>PAREXEL INTERNATIONAL CORP</t>
  </si>
  <si>
    <t>ARC Group Worldwide  Inc.</t>
  </si>
  <si>
    <t>PERCEPTRON INC/MI</t>
  </si>
  <si>
    <t>EnSync  Inc.</t>
  </si>
  <si>
    <t>Palo Alto Networks Inc</t>
  </si>
  <si>
    <t>Pacific Green Technologies Inc.</t>
  </si>
  <si>
    <t>Asset Solutions Inc</t>
  </si>
  <si>
    <t>NAPCO SECURITY TECHNOLOGIES  INC</t>
  </si>
  <si>
    <t>CISCO SYSTEMS  INC.</t>
  </si>
  <si>
    <t>STRATTEC SECURITY CORP</t>
  </si>
  <si>
    <t>PLURISTEM THERAPEUTICS INC</t>
  </si>
  <si>
    <t>PREAXIA HEALTH CARE PAYMENT SYSTEMS INC.</t>
  </si>
  <si>
    <t>Patriot Berry Farms  Inc.</t>
  </si>
  <si>
    <t>PARK CITY GROUP INC</t>
  </si>
  <si>
    <t>Medite Cancer Diagnostics  Inc.</t>
  </si>
  <si>
    <t>LSI INDUSTRIES INC</t>
  </si>
  <si>
    <t>EXTREME NETWORKS INC</t>
  </si>
  <si>
    <t>MEI Pharma  Inc.</t>
  </si>
  <si>
    <t>Electromed  Inc.</t>
  </si>
  <si>
    <t>Blue Spa Inc</t>
  </si>
  <si>
    <t>SPARTON CORP</t>
  </si>
  <si>
    <t>INTEGRATED BIOPHARMA INC</t>
  </si>
  <si>
    <t>PATRIOT GOLD CORP</t>
  </si>
  <si>
    <t>Unified Signal  Inc.</t>
  </si>
  <si>
    <t>Silicon Graphics International Corp</t>
  </si>
  <si>
    <t>Nexvet Biopharma plc</t>
  </si>
  <si>
    <t>Lumentum Holdings Inc.</t>
  </si>
  <si>
    <t>KALOBIOS PHARMACEUTICALS INC</t>
  </si>
  <si>
    <t>AYTU BIOSCIENCE  INC</t>
  </si>
  <si>
    <t>As Seen On TV  Inc.</t>
  </si>
  <si>
    <t>Beta Music Group  Inc.</t>
  </si>
  <si>
    <t>mCig  Inc.</t>
  </si>
  <si>
    <t>MATRIX SERVICE CO</t>
  </si>
  <si>
    <t>INTUIT INC</t>
  </si>
  <si>
    <t>TRC COMPANIES INC /DE/</t>
  </si>
  <si>
    <t>Mind Solutions Inc.</t>
  </si>
  <si>
    <t>Spotlight Innovation  Inc.</t>
  </si>
  <si>
    <t>Rebel Group  Inc.</t>
  </si>
  <si>
    <t>First Harvest Corp.</t>
  </si>
  <si>
    <t>DYCOM INDUSTRIES INC</t>
  </si>
  <si>
    <t>M2 nGage Group  Inc.</t>
  </si>
  <si>
    <t>COLLECTORS UNIVERSE INC</t>
  </si>
  <si>
    <t>Yasheng Group</t>
  </si>
  <si>
    <t>HPIL HOLDING</t>
  </si>
  <si>
    <t>BRIGGS &amp; STRATTON CORP</t>
  </si>
  <si>
    <t>CM Finance Inc</t>
  </si>
  <si>
    <t>Performance Food Group Co</t>
  </si>
  <si>
    <t>KIMBALL INTERNATIONAL INC</t>
  </si>
  <si>
    <t>CONCURRENT COMPUTER CORP/DE</t>
  </si>
  <si>
    <t>VIAVI SOLUTIONS INC.</t>
  </si>
  <si>
    <t>SYSCO CORP</t>
  </si>
  <si>
    <t>NXChain Inc.</t>
  </si>
  <si>
    <t>AEHR TEST SYSTEMS</t>
  </si>
  <si>
    <t>WESTERN DIGITAL CORP</t>
  </si>
  <si>
    <t>PHIBRO ANIMAL HEALTH CORP</t>
  </si>
  <si>
    <t>BOTTOMLINE TECHNOLOGIES INC /DE/</t>
  </si>
  <si>
    <t>GREYSTONE LOGISTICS  INC.</t>
  </si>
  <si>
    <t>Laredo Oil  Inc.</t>
  </si>
  <si>
    <t>GroGenesis  Inc.</t>
  </si>
  <si>
    <t>Staffing 360 Solutions  Inc.</t>
  </si>
  <si>
    <t>Catalent  Inc.</t>
  </si>
  <si>
    <t>Kearny Financial Corp.</t>
  </si>
  <si>
    <t>SavMobi Technology Inc.</t>
  </si>
  <si>
    <t>IWEB  Inc.</t>
  </si>
  <si>
    <t>UNICOBE CORP.</t>
  </si>
  <si>
    <t>HARRIS CORP /DE/</t>
  </si>
  <si>
    <t>AMERICAN INTERNATIONAL VENTURES INC /DE/</t>
  </si>
  <si>
    <t>LANNETT CO INC</t>
  </si>
  <si>
    <t>BRINKER INTERNATIONAL INC</t>
  </si>
  <si>
    <t>BIOMERICA INC</t>
  </si>
  <si>
    <t>HENRY JACK &amp; ASSOCIATES INC</t>
  </si>
  <si>
    <t>PATRIOT SCIENTIFIC CORP</t>
  </si>
  <si>
    <t>BIO-TECHNE Corp</t>
  </si>
  <si>
    <t>SCANSOURCE INC</t>
  </si>
  <si>
    <t>TAYLOR DEVICES INC</t>
  </si>
  <si>
    <t>UNIFI INC</t>
  </si>
  <si>
    <t>OCLARO  INC.</t>
  </si>
  <si>
    <t>Super Micro Computer  Inc.</t>
  </si>
  <si>
    <t>ALPHA &amp; OMEGA SEMICONDUCTOR Ltd</t>
  </si>
  <si>
    <t>ZAYO GROUP LLC</t>
  </si>
  <si>
    <t>Premier  Inc.</t>
  </si>
  <si>
    <t>Zayo Group Holdings  Inc.</t>
  </si>
  <si>
    <t>Starlight Supply Chain Management Co</t>
  </si>
  <si>
    <t>ACETO CORP</t>
  </si>
  <si>
    <t>DELTA NATURAL GAS CO INC</t>
  </si>
  <si>
    <t>SPARTA COMMERCIAL SERVICES  INC.</t>
  </si>
  <si>
    <t>G&amp;K SERVICES INC</t>
  </si>
  <si>
    <t>MEREDITH CORP</t>
  </si>
  <si>
    <t>PARKER HANNIFIN CORP</t>
  </si>
  <si>
    <t>SYNAPTICS Inc</t>
  </si>
  <si>
    <t>II-VI INC</t>
  </si>
  <si>
    <t>NET 1 UEPS TECHNOLOGIES INC</t>
  </si>
  <si>
    <t>Cardiovascular Systems Inc</t>
  </si>
  <si>
    <t>BofI Holding  Inc.</t>
  </si>
  <si>
    <t>NEXGEN APPLIED SOLUTIONS INC</t>
  </si>
  <si>
    <t>First NBC Bank Holding Co</t>
  </si>
  <si>
    <t>Biopower Operations Corp</t>
  </si>
  <si>
    <t>Kimball Electronics  Inc.</t>
  </si>
  <si>
    <t>STANDEX INTERNATIONAL CORP/DE/</t>
  </si>
  <si>
    <t>KOSS CORP</t>
  </si>
  <si>
    <t>NATIONAL RURAL UTILITIES COOPERATIVE FINANCE CORP /DC/</t>
  </si>
  <si>
    <t>DEVRY EDUCATION GROUP INC.</t>
  </si>
  <si>
    <t>LINEAR TECHNOLOGY CORP /CA/</t>
  </si>
  <si>
    <t>IMMUNOGEN INC</t>
  </si>
  <si>
    <t>CREE INC</t>
  </si>
  <si>
    <t>SHARPS COMPLIANCE CORP</t>
  </si>
  <si>
    <t>Banjo &amp; Matilda  Inc.</t>
  </si>
  <si>
    <t>ESTEE LAUDER COMPANIES INC</t>
  </si>
  <si>
    <t>APPLIED INDUSTRIAL TECHNOLOGIES INC</t>
  </si>
  <si>
    <t>LANTRONIX INC</t>
  </si>
  <si>
    <t>ACCURAY INC</t>
  </si>
  <si>
    <t>RadTek  Inc</t>
  </si>
  <si>
    <t>CACI INTERNATIONAL INC /DE/</t>
  </si>
  <si>
    <t>FLEXSTEEL INDUSTRIES INC</t>
  </si>
  <si>
    <t>LANCASTER COLONY CORP</t>
  </si>
  <si>
    <t>SANFILIPPO JOHN B &amp; SON INC</t>
  </si>
  <si>
    <t>STARRETT L S CO</t>
  </si>
  <si>
    <t>21st Century Oncology Holdings  Inc.</t>
  </si>
  <si>
    <t>Corvus Gold Inc.</t>
  </si>
  <si>
    <t>Multi Packaging Solutions International Ltd</t>
  </si>
  <si>
    <t>REGIS CORP</t>
  </si>
  <si>
    <t>Telenav  Inc.</t>
  </si>
  <si>
    <t>Rich Pharmaceuticals  Inc.</t>
  </si>
  <si>
    <t>Ubiquiti Networks  Inc.</t>
  </si>
  <si>
    <t>JOYMAIN INTERNATIONAL DEVELOPMENT GROUP INC.</t>
  </si>
  <si>
    <t>IMMUCOR INC</t>
  </si>
  <si>
    <t>OSI SYSTEMS INC</t>
  </si>
  <si>
    <t>ARRAY BIOPHARMA INC</t>
  </si>
  <si>
    <t>COACH INC</t>
  </si>
  <si>
    <t>QUINSTREET  INC</t>
  </si>
  <si>
    <t>HANDENI GOLD INC.</t>
  </si>
  <si>
    <t>Coda Octopus Group  Inc.</t>
  </si>
  <si>
    <t>SANTANDER DRIVE AUTO RECEIVABLES LLC</t>
  </si>
  <si>
    <t>Calpian  Inc.</t>
  </si>
  <si>
    <t>Santander Drive Auto Receivables Trust 2012-1</t>
  </si>
  <si>
    <t>Santander Drive Auto Receivables Trust 2012-2</t>
  </si>
  <si>
    <t>THREE FORKS  INC.</t>
  </si>
  <si>
    <t>Santander Drive Auto Receivables Trust 2012-3</t>
  </si>
  <si>
    <t>Santander Drive Auto Receivables Trust 2012-4</t>
  </si>
  <si>
    <t>Santander Drive Auto Receivables Trust 2012-5</t>
  </si>
  <si>
    <t>Santander Drive Auto Receivables Trust 2012-6</t>
  </si>
  <si>
    <t>Santander Drive Auto Receivables Trust 2013-1</t>
  </si>
  <si>
    <t>Santander Drive Auto Receivables Trust 2013-2</t>
  </si>
  <si>
    <t>Santander Drive Auto Receivables Trust 2013-3</t>
  </si>
  <si>
    <t>Santander Drive Auto Receivables Trust 2013-4</t>
  </si>
  <si>
    <t>Santander Drive Auto Receivables Trust 2013-5</t>
  </si>
  <si>
    <t>Santander Drive Auto Receivables Trust 2014-1</t>
  </si>
  <si>
    <t>Santander Drive Auto Receivables Trust 2014-2</t>
  </si>
  <si>
    <t>Santander Drive Auto Receivables Trust 2014-3</t>
  </si>
  <si>
    <t>Santander Drive Auto Receivables Trust 2014-4</t>
  </si>
  <si>
    <t>Santander Drive Auto Receivables Trust 2014-5</t>
  </si>
  <si>
    <t>Santander Drive Auto Receivables Trust 2015-1</t>
  </si>
  <si>
    <t>Madison Square Garden Co</t>
  </si>
  <si>
    <t>Santander Drive Auto Receivables Trust 2015-2</t>
  </si>
  <si>
    <t>SANTANDER DRIVE AUTO RECEIVABLES TRUST 2015-3</t>
  </si>
  <si>
    <t>Santander Drive Auto Receivables Trust 2015-4</t>
  </si>
  <si>
    <t>Santander Drive Auto Receivables Trust 2015-5</t>
  </si>
  <si>
    <t>TUESDAY MORNING CORP/DE</t>
  </si>
  <si>
    <t>Santander Drive Auto Receivables Trust 2011-4</t>
  </si>
  <si>
    <t>CARVER BANCORP INC</t>
  </si>
  <si>
    <t>COTY INC.</t>
  </si>
  <si>
    <t>FAIRCHILD SEMICONDUCTOR INTERNATIONAL INC</t>
  </si>
  <si>
    <t>STAR BUFFET INC</t>
  </si>
  <si>
    <t>MSG NETWORKS INC.</t>
  </si>
  <si>
    <t>APPIPHANY TECHNOLOGIES HOLDINGS CORP</t>
  </si>
  <si>
    <t>YAPPN CORP.</t>
  </si>
  <si>
    <t>CARPENTER TECHNOLOGY CORP</t>
  </si>
  <si>
    <t>GOLDEN ENTERPRISES INC</t>
  </si>
  <si>
    <t>IMMUNOMEDICS INC</t>
  </si>
  <si>
    <t>Fabrinet</t>
  </si>
  <si>
    <t>SolarEdge Technologies Inc</t>
  </si>
  <si>
    <t>PetVivo Holdings  Inc.</t>
  </si>
  <si>
    <t>EXCALIBUR INDUSTRIES</t>
  </si>
  <si>
    <t>AEROJET ROCKETDYNE HOLDINGS  INC.</t>
  </si>
  <si>
    <t>LAM RESEARCH CORP</t>
  </si>
  <si>
    <t>BIOSYNERGY INC</t>
  </si>
  <si>
    <t>REGI U S INC</t>
  </si>
  <si>
    <t>MERCURY SYSTEMS INC</t>
  </si>
  <si>
    <t>REDtone Asia Inc</t>
  </si>
  <si>
    <t>OWC Pharmaceutical Research Corp.</t>
  </si>
  <si>
    <t>SENSE TECHNOLOGIES INC</t>
  </si>
  <si>
    <t>Progreen US  Inc.</t>
  </si>
  <si>
    <t>MEDINA INTERNATIONAL HOLDINGS  INC.</t>
  </si>
  <si>
    <t>PREVENTION INSURANCE COM INC</t>
  </si>
  <si>
    <t>BIOSHAFT WATER TECHNOLOGY  INC.</t>
  </si>
  <si>
    <t>Star Gold Corp.</t>
  </si>
  <si>
    <t>Writ Media Group  Inc.</t>
  </si>
  <si>
    <t>Mistras Group  Inc.</t>
  </si>
  <si>
    <t>Line Up Advertisement  Inc.</t>
  </si>
  <si>
    <t>OCULUS INC.</t>
  </si>
  <si>
    <t>RUBY TUESDAY INC</t>
  </si>
  <si>
    <t>ELIZABETH ARDEN INC</t>
  </si>
  <si>
    <t>CIMPRESS N.V.</t>
  </si>
  <si>
    <t>ACCELERA INNOVATIONS  INC.</t>
  </si>
  <si>
    <t>Greenhouse Solutions  Inc.</t>
  </si>
  <si>
    <t>STERLING CONSOLIDATED Corp</t>
  </si>
  <si>
    <t>NEWS CORP</t>
  </si>
  <si>
    <t>Paylocity Holding Corp</t>
  </si>
  <si>
    <t>CARDINAL HEALTH INC</t>
  </si>
  <si>
    <t>MAXIM INTEGRATED PRODUCTS INC</t>
  </si>
  <si>
    <t>PAR PACIFIC HOLDINGS  INC.</t>
  </si>
  <si>
    <t>AVNET INC</t>
  </si>
  <si>
    <t>RESOURCES CONNECTION INC</t>
  </si>
  <si>
    <t>T-REX OIL  INC.</t>
  </si>
  <si>
    <t>TWENTY-FIRST CENTURY FOX  INC.</t>
  </si>
  <si>
    <t>Orbis Corp</t>
  </si>
  <si>
    <t>KENNAMETAL INC</t>
  </si>
  <si>
    <t>HARMAN INTERNATIONAL INDUSTRIES INC /DE/</t>
  </si>
  <si>
    <t>ROYAL GOLD INC</t>
  </si>
  <si>
    <t>ASPEN TECHNOLOGY INC /DE/</t>
  </si>
  <si>
    <t>MYRIAD GENETICS INC</t>
  </si>
  <si>
    <t>K12 INC</t>
  </si>
  <si>
    <t>BROADRIDGE FINANCIAL SOLUTIONS  INC.</t>
  </si>
  <si>
    <t>Axsome Therapeutics  Inc.</t>
  </si>
  <si>
    <t>CDK Global  Inc.</t>
  </si>
  <si>
    <t>ELECTRO RENT CORP</t>
  </si>
  <si>
    <t>PROCTER &amp; GAMBLE Co</t>
  </si>
  <si>
    <t>STERICYCLE INC</t>
  </si>
  <si>
    <t>ALERE INC.</t>
  </si>
  <si>
    <t>Diamond Resorts International  Inc.</t>
  </si>
  <si>
    <t>PANHANDLE EASTERN PIPE LINE CO LP</t>
  </si>
  <si>
    <t>ETHAN ALLEN INTERIORS INC</t>
  </si>
  <si>
    <t>Seagate Technology plc</t>
  </si>
  <si>
    <t>National American University Holdings  Inc.</t>
  </si>
  <si>
    <t>KLA TENCOR CORP</t>
  </si>
  <si>
    <t>FIRST HARTFORD CORP</t>
  </si>
  <si>
    <t>AUTOMATIC DATA PROCESSING INC</t>
  </si>
  <si>
    <t>SKYLINE CORP</t>
  </si>
  <si>
    <t>SCHMITT INDUSTRIES INC</t>
  </si>
  <si>
    <t>RESMED INC</t>
  </si>
  <si>
    <t>HydroPhi Technologies Group  Inc.</t>
  </si>
  <si>
    <t>Heyu Leisure Holidays Corp</t>
  </si>
  <si>
    <t>Global Marine Minerals  Inc.</t>
  </si>
  <si>
    <t>Franklin Hill Acquisition Corp</t>
  </si>
  <si>
    <t>Geo Reserve Corp</t>
  </si>
  <si>
    <t>LANDEC CORP \CA\</t>
  </si>
  <si>
    <t>WORTHINGTON INDUSTRIES INC</t>
  </si>
  <si>
    <t>ANGIODYNAMICS INC</t>
  </si>
  <si>
    <t>PharmaCyte Biotech  Inc.</t>
  </si>
  <si>
    <t>Petro River Oil Corp.</t>
  </si>
  <si>
    <t>MAJOR LEAGUE FOOTBALL INC</t>
  </si>
  <si>
    <t>Car Charging Group  Inc.</t>
  </si>
  <si>
    <t>PETROTERRA CORP.</t>
  </si>
  <si>
    <t>Magnolia Lane Income Fund</t>
  </si>
  <si>
    <t>DEFENSE TECHNOLOGIES INTERNATIONAL CORP.</t>
  </si>
  <si>
    <t>Lvyuan Green Building Material Technology Corp.</t>
  </si>
  <si>
    <t>E-Compass Acquisition Corp.</t>
  </si>
  <si>
    <t>Global Quest Ltd.</t>
  </si>
  <si>
    <t>DATARAM CORP</t>
  </si>
  <si>
    <t>NEVADA GOLD &amp; CASINOS INC</t>
  </si>
  <si>
    <t>Digital Turbine  Inc.</t>
  </si>
  <si>
    <t>ITERIS  INC.</t>
  </si>
  <si>
    <t>RICHARDSON ELECTRONICS LTD/DE</t>
  </si>
  <si>
    <t>FREQUENCY ELECTRONICS INC</t>
  </si>
  <si>
    <t>AMREP CORP.</t>
  </si>
  <si>
    <t>NEOGEN CORP</t>
  </si>
  <si>
    <t>CINTAS CORP</t>
  </si>
  <si>
    <t>CHAMPIONS ONCOLOGY  INC.</t>
  </si>
  <si>
    <t>AGILYSYS INC</t>
  </si>
  <si>
    <t>SUNWIN STEVIA INTERNATIONAL  INC.</t>
  </si>
  <si>
    <t>SIGMATRON INTERNATIONAL INC</t>
  </si>
  <si>
    <t>MOTORCAR PARTS AMERICA INC</t>
  </si>
  <si>
    <t>WPCS INTERNATIONAL INC</t>
  </si>
  <si>
    <t>RPM INTERNATIONAL INC/DE/</t>
  </si>
  <si>
    <t>GLOBAL PAYMENTS INC</t>
  </si>
  <si>
    <t>I-Minerals Inc</t>
  </si>
  <si>
    <t>Cabinet Grow  Inc.</t>
  </si>
  <si>
    <t>MICROSOFT CORP</t>
  </si>
  <si>
    <t>TSR INC</t>
  </si>
  <si>
    <t>OPEN TEXT CORP</t>
  </si>
  <si>
    <t>ASPEN GROUP  INC.</t>
  </si>
  <si>
    <t>BUTLER NATIONAL CORP</t>
  </si>
  <si>
    <t>QUANTUM CORP /DE/</t>
  </si>
  <si>
    <t>Uvic Inc.</t>
  </si>
  <si>
    <t>MILLER HERMAN INC</t>
  </si>
  <si>
    <t>SCHOLASTIC CORP</t>
  </si>
  <si>
    <t>SILVER SPRING NETWORKS INC</t>
  </si>
  <si>
    <t>Rockdale Resources Corp</t>
  </si>
  <si>
    <t>Enhance Skin Products Inc</t>
  </si>
  <si>
    <t>Northern Power Systems Corp.</t>
  </si>
  <si>
    <t>Gushen  Inc</t>
  </si>
  <si>
    <t>DARDEN RESTAURANTS INC</t>
  </si>
  <si>
    <t>Ocean Power Technologies  Inc.</t>
  </si>
  <si>
    <t>ARROGENE  INC</t>
  </si>
  <si>
    <t>HealthTalk Live  Inc.</t>
  </si>
  <si>
    <t>One Horizon Group  Inc.</t>
  </si>
  <si>
    <t>PAYCHEX INC</t>
  </si>
  <si>
    <t>MARVELL TECHNOLOGY GROUP LTD</t>
  </si>
  <si>
    <t>ETERNITY HEALTHCARE INC.</t>
  </si>
  <si>
    <t>Greenfield Farms Food  Inc.</t>
  </si>
  <si>
    <t>Bang Holdings Corp.</t>
  </si>
  <si>
    <t>NIKE INC</t>
  </si>
  <si>
    <t>KEWAUNEE SCIENTIFIC CORP /DE/</t>
  </si>
  <si>
    <t>ARBOR ENTECH CORP</t>
  </si>
  <si>
    <t>SMARTHEAT INC.</t>
  </si>
  <si>
    <t>PIERIS PHARMACEUTICALS  INC.</t>
  </si>
  <si>
    <t>CytoDyn Inc.</t>
  </si>
  <si>
    <t>Consumer Capital Group  Inc.</t>
  </si>
  <si>
    <t>LOTON  CORP</t>
  </si>
  <si>
    <t>Meganet Corp</t>
  </si>
  <si>
    <t>ACCELERATED ACQUISITIONS XIX</t>
  </si>
  <si>
    <t>Lepora Holdings  Inc.</t>
  </si>
  <si>
    <t>UNITY GLOBAL HOLDINGS LTD.</t>
  </si>
  <si>
    <t>Scott Hill Acquisition Corp</t>
  </si>
  <si>
    <t>Perry Hill Acquisition Corp</t>
  </si>
  <si>
    <t>FEDEX CORP</t>
  </si>
  <si>
    <t>SITESTAR CORP</t>
  </si>
  <si>
    <t>WNC Housing Tax Credit Fund VI  L.P.  Series 13</t>
  </si>
  <si>
    <t>Madison Ventures Inc.</t>
  </si>
  <si>
    <t>CAL-MAINE FOODS INC</t>
  </si>
  <si>
    <t>PROTALEX INC</t>
  </si>
  <si>
    <t>MARILYNJEAN INTERACTIVE INC.</t>
  </si>
  <si>
    <t>Peak Resorts Inc</t>
  </si>
  <si>
    <t>Buscar Co</t>
  </si>
  <si>
    <t>CHC Group Ltd.</t>
  </si>
  <si>
    <t>BCI GROUP  INC.</t>
  </si>
  <si>
    <t>KT High-Tech Marketing Inc.</t>
  </si>
  <si>
    <t>CONAGRA FOODS INC /DE/</t>
  </si>
  <si>
    <t>VALUE LINE INC</t>
  </si>
  <si>
    <t>CULP INC</t>
  </si>
  <si>
    <t>Growblox Sciences  Inc.</t>
  </si>
  <si>
    <t>Cinedigm Corp.</t>
  </si>
  <si>
    <t>3Power Energy Group Inc.</t>
  </si>
  <si>
    <t>COUNTERPATH CORP</t>
  </si>
  <si>
    <t>India Globalization Capital  Inc.</t>
  </si>
  <si>
    <t>NaturalShrimp Inc</t>
  </si>
  <si>
    <t>Scio Diamond Technology Corp</t>
  </si>
  <si>
    <t>Mountain High Acquisitions Corp.</t>
  </si>
  <si>
    <t>ALKALINE WATER Co INC</t>
  </si>
  <si>
    <t>Cantabio Pharmaceuticals Inc.</t>
  </si>
  <si>
    <t>Aina Le'a Inc.</t>
  </si>
  <si>
    <t>Geo Point Resources  Inc.</t>
  </si>
  <si>
    <t>WINHA INTERNATIONAL GROUP LTD</t>
  </si>
  <si>
    <t>American Riding Tours Inc</t>
  </si>
  <si>
    <t>KM WEDDING EVENTS MANAGEMENT  INC.</t>
  </si>
  <si>
    <t>BIRDBILL  INC.</t>
  </si>
  <si>
    <t>NATIONAL BEVERAGE CORP</t>
  </si>
  <si>
    <t>PEREGRINE PHARMACEUTICALS INC</t>
  </si>
  <si>
    <t>AMERICAN SOFTWARE INC</t>
  </si>
  <si>
    <t>Investview  Inc.</t>
  </si>
  <si>
    <t>BMB MUNAI INC</t>
  </si>
  <si>
    <t>SECTOR 10 INC</t>
  </si>
  <si>
    <t>LUCAS ENERGY  INC.</t>
  </si>
  <si>
    <t>Yinfu Gold Corp.</t>
  </si>
  <si>
    <t>EFT Holdings  Inc.</t>
  </si>
  <si>
    <t>Ziwira  Inc.</t>
  </si>
  <si>
    <t>SEGUIN NATURAL HAIR PRODUCTS INC.</t>
  </si>
  <si>
    <t>AAR CORP</t>
  </si>
  <si>
    <t>ADM TRONICS UNLIMITED  INC.</t>
  </si>
  <si>
    <t>GMS Inc.</t>
  </si>
  <si>
    <t>ALLIANCE ONE INTERNATIONAL  INC.</t>
  </si>
  <si>
    <t>6D Global Technologies  Inc</t>
  </si>
  <si>
    <t>MMEX Resources Corp</t>
  </si>
  <si>
    <t>Healthway Shopping Network</t>
  </si>
  <si>
    <t>Baristas Coffee Company  Inc.</t>
  </si>
  <si>
    <t>INDUSTRIAL SERVICES OF AMERICA INC</t>
  </si>
  <si>
    <t>Oakridge Global Energy Solutions  Inc.</t>
  </si>
  <si>
    <t>PFO Global  Inc.</t>
  </si>
  <si>
    <t>Zlato Inc.</t>
  </si>
  <si>
    <t>IEH CORPORATION</t>
  </si>
  <si>
    <t>Strainwise  Inc.</t>
  </si>
  <si>
    <t>Algae Dynamics Corp.</t>
  </si>
  <si>
    <t>NATION ENERGY INC</t>
  </si>
  <si>
    <t>ENXNET INC</t>
  </si>
  <si>
    <t>DETERMINE  INC.</t>
  </si>
  <si>
    <t>SITO MOBILE  LTD.</t>
  </si>
  <si>
    <t>Aureus Inc</t>
  </si>
  <si>
    <t>Devago  Inc.</t>
  </si>
  <si>
    <t>Plandai Biotechnology  Inc.</t>
  </si>
  <si>
    <t>Bionik Laboratories Corp.</t>
  </si>
  <si>
    <t>Jubilant Flame International  Ltd</t>
  </si>
  <si>
    <t>GENERAL MILLS INC</t>
  </si>
  <si>
    <t>ITRON INC /WA/</t>
  </si>
  <si>
    <t>TOROTEL INC</t>
  </si>
  <si>
    <t>WILEY JOHN &amp; SONS  INC.</t>
  </si>
  <si>
    <t>REMEDENT  INC.</t>
  </si>
  <si>
    <t>Apollo Medical Holdings  Inc.</t>
  </si>
  <si>
    <t>KYTO BIOPHARMA INC</t>
  </si>
  <si>
    <t>XPLORE TECHNOLOGIES CORP</t>
  </si>
  <si>
    <t>DAKOTA TERRITORY RESOURCE CORP</t>
  </si>
  <si>
    <t>Live Nation Entertainment  Inc.</t>
  </si>
  <si>
    <t>AeroVironment Inc</t>
  </si>
  <si>
    <t>Indo Global Exchange(s) Pte  Ltd.</t>
  </si>
  <si>
    <t>Truli Media Group  Inc.</t>
  </si>
  <si>
    <t>Media Analytics Corp</t>
  </si>
  <si>
    <t>Liberty Tax  Inc.</t>
  </si>
  <si>
    <t>Hamilton Bancorp  Inc.</t>
  </si>
  <si>
    <t>Nissan Auto Receivables 2012-B Owner Trust</t>
  </si>
  <si>
    <t>Nissan Auto Receivables 2013-A Owner Trust</t>
  </si>
  <si>
    <t>Dutchess Holdings Corp.</t>
  </si>
  <si>
    <t>eBullion  Inc.</t>
  </si>
  <si>
    <t>Delanco Bancorp  Inc.</t>
  </si>
  <si>
    <t>Image International Group  Inc.</t>
  </si>
  <si>
    <t>Nissan Auto Receivables 2013-B Owner Trust</t>
  </si>
  <si>
    <t>Nissan Auto Receivables 2013-C Owner Trust</t>
  </si>
  <si>
    <t>Nissan Auto Receivables 2014-A Owner Trust</t>
  </si>
  <si>
    <t>MITU Resources Inc.</t>
  </si>
  <si>
    <t>DT Asia Investments Ltd</t>
  </si>
  <si>
    <t>Palayan Resources  Inc.</t>
  </si>
  <si>
    <t>Nissan Auto Receivables 2014-B Owner Trust</t>
  </si>
  <si>
    <t>Nissan Auto Receivables 2015-A Owner Trust</t>
  </si>
  <si>
    <t>Barnes &amp; Noble Education  Inc.</t>
  </si>
  <si>
    <t>Nissan Auto Receivables 2015-B Owner Trust</t>
  </si>
  <si>
    <t>Nissan Auto Receivables 2015-C Owner Trust</t>
  </si>
  <si>
    <t>Nissan Auto Receivables 2016-A Owner Trust</t>
  </si>
  <si>
    <t>Unleashed Inc.</t>
  </si>
  <si>
    <t>EMERSON RADIO CORP</t>
  </si>
  <si>
    <t>AIR T INC</t>
  </si>
  <si>
    <t>FRIEDMAN INDUSTRIES INC</t>
  </si>
  <si>
    <t>MEXCO ENERGY CORP</t>
  </si>
  <si>
    <t>AMERICAN WOODMARK CORP</t>
  </si>
  <si>
    <t>INVESTORS REAL ESTATE TRUST</t>
  </si>
  <si>
    <t>China YCT International Group  Inc.</t>
  </si>
  <si>
    <t>AMERICAN MEDIA INC</t>
  </si>
  <si>
    <t>AETHLON MEDICAL INC</t>
  </si>
  <si>
    <t>PATTERSON COMPANIES  INC.</t>
  </si>
  <si>
    <t>TEL INSTRUMENT ELECTRONICS CORP</t>
  </si>
  <si>
    <t>Cryoport  Inc.</t>
  </si>
  <si>
    <t>NISSAN MASTER OWNER TRUST RECEIVABLES</t>
  </si>
  <si>
    <t>Endurance International Group Holdings  Inc.</t>
  </si>
  <si>
    <t>TECHPRECISION CORP</t>
  </si>
  <si>
    <t>JRjr33  Inc.</t>
  </si>
  <si>
    <t>CHINA JO-JO DRUGSTORES  INC.</t>
  </si>
  <si>
    <t>TOA Distribution Systems Inc.</t>
  </si>
  <si>
    <t>Black River Petroleum Corp.</t>
  </si>
  <si>
    <t>Global Medical REIT Inc.</t>
  </si>
  <si>
    <t>Sugar Creek Financial Corp./MD/</t>
  </si>
  <si>
    <t>Nissan Auto Lease Trust 2014-A</t>
  </si>
  <si>
    <t>Medtronic plc</t>
  </si>
  <si>
    <t>Nissan Auto Lease Trust 2014-B</t>
  </si>
  <si>
    <t>Nissan Auto Lease Trust 2015-A</t>
  </si>
  <si>
    <t>Nissan Auto Lease Trust 2015-B</t>
  </si>
  <si>
    <t>KORN FERRY INTERNATIONAL</t>
  </si>
  <si>
    <t>AdvanSource Biomaterials Corp</t>
  </si>
  <si>
    <t>VOLKSWAGEN AUTO LEASE/LOAN UNDERWRITTEN FUNDING  LLC</t>
  </si>
  <si>
    <t>MEDCAREERS GROUP  Inc.</t>
  </si>
  <si>
    <t>Net Element  Inc.</t>
  </si>
  <si>
    <t>Volkswagen Auto Loan Enhanced Trust 2012-2</t>
  </si>
  <si>
    <t>Volkswagen Auto Lease Trust 2014-A</t>
  </si>
  <si>
    <t>INTERNATIONAL WESTERN PETROLEUM  INC.</t>
  </si>
  <si>
    <t>Volkswagen Auto Lease Trust 2015-A</t>
  </si>
  <si>
    <t>CASEYS GENERAL STORES INC</t>
  </si>
  <si>
    <t>COMMAND SECURITY CORP</t>
  </si>
  <si>
    <t>ION GEOPHYSICAL CORP</t>
  </si>
  <si>
    <t>SALON MEDIA GROUP INC</t>
  </si>
  <si>
    <t>Eason Education Kingdom Holdings  Inc.</t>
  </si>
  <si>
    <t>VistaGen Therapeutics  Inc.</t>
  </si>
  <si>
    <t>Stevia First Corp.</t>
  </si>
  <si>
    <t>HARRISON VICKERS &amp; WATERMAN INC</t>
  </si>
  <si>
    <t>Asia Training Institute  Inc.</t>
  </si>
  <si>
    <t>Makkanotti Group Corp.</t>
  </si>
  <si>
    <t>AMERICAN INTERNATIONAL HOLDINGS CORP.</t>
  </si>
  <si>
    <t>HOULIHAN LOKEY  INC.</t>
  </si>
  <si>
    <t>Monaker Group  Inc.</t>
  </si>
  <si>
    <t>ORION ENERGY SYSTEMS  INC.</t>
  </si>
  <si>
    <t>Macquarie Leasing Pty Ltd</t>
  </si>
  <si>
    <t>Infor  Inc.</t>
  </si>
  <si>
    <t>SMART ABS Series 2012-4US Trust</t>
  </si>
  <si>
    <t>SMART ABS Series 2013-1US Trust</t>
  </si>
  <si>
    <t>SMART ABS Series 2013-2US Trust</t>
  </si>
  <si>
    <t>SMART ABS Series 2014-1US Trust</t>
  </si>
  <si>
    <t>SMART ABS Series 2015-1US Trust</t>
  </si>
  <si>
    <t>SMART ABS Series 2015-3US Trust</t>
  </si>
  <si>
    <t>BOB EVANS FARMS INC</t>
  </si>
  <si>
    <t>METHODE ELECTRONICS INC</t>
  </si>
  <si>
    <t>CYANOTECH CORP</t>
  </si>
  <si>
    <t>AMERICAN HONDA FINANCE CORP</t>
  </si>
  <si>
    <t>E DIGITAL CORP</t>
  </si>
  <si>
    <t>BARNES &amp; NOBLE INC</t>
  </si>
  <si>
    <t>NetApp  Inc.</t>
  </si>
  <si>
    <t>PCS EDVENTURES COM INC</t>
  </si>
  <si>
    <t>ORACLE CORP</t>
  </si>
  <si>
    <t>Biotech Products Services &amp; Research  Inc.</t>
  </si>
  <si>
    <t>Artec Global Media  Inc.</t>
  </si>
  <si>
    <t>Greenbacker Renewable Energy Co LLC</t>
  </si>
  <si>
    <t>Oculus Innovative Sciences  Inc.</t>
  </si>
  <si>
    <t>UBS-Barclays Commercial Mortgage Trust 2013-C6</t>
  </si>
  <si>
    <t>CAVCO INDUSTRIES INC</t>
  </si>
  <si>
    <t>LA-Z-BOY INC</t>
  </si>
  <si>
    <t>AMERICAN TAX CREDIT PROPERTIES II L P</t>
  </si>
  <si>
    <t>ISLE OF CAPRI CASINOS INC</t>
  </si>
  <si>
    <t>J M SMUCKER Co</t>
  </si>
  <si>
    <t>DAKTRONICS INC /SD/</t>
  </si>
  <si>
    <t>Bazaarvoice Inc</t>
  </si>
  <si>
    <t>ECO SCIENCE SOLUTIONS  INC.</t>
  </si>
  <si>
    <t>AMERICAN TAX CREDIT PROPERTIES III LP</t>
  </si>
  <si>
    <t>1PM Industries</t>
  </si>
  <si>
    <t>AMERICAN TAX CREDIT TRUST SERIES I</t>
  </si>
  <si>
    <t>TRANSCAT INC</t>
  </si>
  <si>
    <t>FINISAR CORP</t>
  </si>
  <si>
    <t>INTERCLOUD SYSTEMS  INC.</t>
  </si>
  <si>
    <t>H&amp;R BLOCK INC</t>
  </si>
  <si>
    <t>GREEN ENVIROTECH HOLDINGS CORP.</t>
  </si>
  <si>
    <t>CEMPRA  INC.</t>
  </si>
  <si>
    <t>PowerMedChairs</t>
  </si>
  <si>
    <t>FCCC INC</t>
  </si>
  <si>
    <t>AMERICAS CARMART INC</t>
  </si>
  <si>
    <t>SEYCHELLE ENVIRONMENTAL TECHNOLOGIES INC /CA</t>
  </si>
  <si>
    <t>SMITH &amp; WESSON HOLDING CORP</t>
  </si>
  <si>
    <t>Rand Logistics  Inc.</t>
  </si>
  <si>
    <t>Ultimate Products CORP</t>
  </si>
  <si>
    <t>BROWN FORMAN CORP</t>
  </si>
  <si>
    <t>ELITE PHARMACEUTICALS INC /NV/</t>
  </si>
  <si>
    <t>AeroGrow International  Inc.</t>
  </si>
  <si>
    <t>ARC Group  Inc.</t>
  </si>
  <si>
    <t>ON THE MOVE SYSTEMS CORP.</t>
  </si>
  <si>
    <t>Loop Industries  Inc.</t>
  </si>
  <si>
    <t>E-WASTE CORP.</t>
  </si>
  <si>
    <t>Honda Auto Receivables 2013-3 Owner Trust</t>
  </si>
  <si>
    <t>Honda Auto Receivables 2013-4 Owner Trust</t>
  </si>
  <si>
    <t>Honda Auto Receivables 2014-1 Owner Trust</t>
  </si>
  <si>
    <t>International Endeavors Corp</t>
  </si>
  <si>
    <t>Honda Auto Receivables 2014-4 Owner Trust</t>
  </si>
  <si>
    <t>Honda Auto Receivables 2015-1 Owner Trust</t>
  </si>
  <si>
    <t>Honda Auto Receivables 2015-2 Owner Trust</t>
  </si>
  <si>
    <t>Honda Auto Receivables 2016-1 Owner Trust</t>
  </si>
  <si>
    <t>COMPUTER SCIENCES CORP</t>
  </si>
  <si>
    <t>ELECTRO SCIENTIFIC INDUSTRIES INC</t>
  </si>
  <si>
    <t>SOLITRON DEVICES INC</t>
  </si>
  <si>
    <t>AMERICAN COMMERCE SOLUTIONS Inc</t>
  </si>
  <si>
    <t>NICHOLAS FINANCIAL INC</t>
  </si>
  <si>
    <t>RIVERVIEW BANCORP INC</t>
  </si>
  <si>
    <t>LEXICON PHARMACEUTICALS  INC.</t>
  </si>
  <si>
    <t>Sundance Strategies  Inc.</t>
  </si>
  <si>
    <t>Castle Brands Inc</t>
  </si>
  <si>
    <t>DOMINION MINERALS CORP</t>
  </si>
  <si>
    <t>Discovery Energy Corp.</t>
  </si>
  <si>
    <t>Point Capital  Inc.</t>
  </si>
  <si>
    <t>Trenton Acquisition Corp.</t>
  </si>
  <si>
    <t>ENCISION INC</t>
  </si>
  <si>
    <t>RACKSPACE HOSTING  INC.</t>
  </si>
  <si>
    <t>PROFIRE ENERGY INC</t>
  </si>
  <si>
    <t>Synutra International  Inc.</t>
  </si>
  <si>
    <t>pdvWireless  Inc.</t>
  </si>
  <si>
    <t>Nemaura Medical Inc.</t>
  </si>
  <si>
    <t>DNA Testing Centers Corp</t>
  </si>
  <si>
    <t>BURZYNSKI RESEARCH INSTITUTE INC</t>
  </si>
  <si>
    <t>GSI TECHNOLOGY INC</t>
  </si>
  <si>
    <t>Sancon Resources Recovery  Inc.</t>
  </si>
  <si>
    <t>Iveda Solutions  Inc.</t>
  </si>
  <si>
    <t>Niska Gas Storage Partners LLC</t>
  </si>
  <si>
    <t>CLOUD SECURITY CORP.</t>
  </si>
  <si>
    <t>SIGMABROADBAND CO.</t>
  </si>
  <si>
    <t>Arowana Inc.</t>
  </si>
  <si>
    <t>NATHANS FAMOUS INC</t>
  </si>
  <si>
    <t>SPECTRUM PHARMACEUTICALS INC</t>
  </si>
  <si>
    <t>CORVEL CORP</t>
  </si>
  <si>
    <t>MAGNA LAB INC</t>
  </si>
  <si>
    <t>CAPSTONE TURBINE Corp</t>
  </si>
  <si>
    <t>CANNABIS SCIENCE  INC.</t>
  </si>
  <si>
    <t>ORGANOVO HOLDINGS  INC.</t>
  </si>
  <si>
    <t>CROWN CRAFTS INC</t>
  </si>
  <si>
    <t>NaturalNano  Inc.</t>
  </si>
  <si>
    <t>IXYS CORP /DE/</t>
  </si>
  <si>
    <t>InCapta  Inc.</t>
  </si>
  <si>
    <t>Morgan Stanley Capital I Trust 2012-C4</t>
  </si>
  <si>
    <t>Clifton Bancorp Inc.</t>
  </si>
  <si>
    <t>CSW INDUSTRIALS  INC.</t>
  </si>
  <si>
    <t>Seneca Foods Corp</t>
  </si>
  <si>
    <t>PEARTRACK SECURITY SYSTEMS  INC.</t>
  </si>
  <si>
    <t>Pivot Pharmaceuticals Inc.</t>
  </si>
  <si>
    <t>UQM TECHNOLOGIES INC</t>
  </si>
  <si>
    <t>GIGA TRONICS INC</t>
  </si>
  <si>
    <t>DigitalTown  Inc.</t>
  </si>
  <si>
    <t>Venoco  Inc.</t>
  </si>
  <si>
    <t>Novagen Ingenium Inc.</t>
  </si>
  <si>
    <t>Clean Coal Technologies Inc.</t>
  </si>
  <si>
    <t>Covisint Corp</t>
  </si>
  <si>
    <t>DENVER PARENT Corp</t>
  </si>
  <si>
    <t>MYECHECK  INC.</t>
  </si>
  <si>
    <t>Axovant Sciences Ltd.</t>
  </si>
  <si>
    <t>INDEPENDENCE HOLDING CO</t>
  </si>
  <si>
    <t>MESA LABORATORIES INC /CO</t>
  </si>
  <si>
    <t>Textmunication Holdings  Inc.</t>
  </si>
  <si>
    <t>TESSCO TECHNOLOGIES INC</t>
  </si>
  <si>
    <t>AMERICAN INDEPENDENCE CORP</t>
  </si>
  <si>
    <t>Boot Barn Holdings  Inc.</t>
  </si>
  <si>
    <t>HAWKINS INC</t>
  </si>
  <si>
    <t>MAD CATZ INTERACTIVE INC</t>
  </si>
  <si>
    <t>EARTH LIFE SCIENCES INC</t>
  </si>
  <si>
    <t>JOEY NEW YORK  INC.</t>
  </si>
  <si>
    <t>TOYOTA MOTOR CREDIT CORP</t>
  </si>
  <si>
    <t>COLUMBUS MCKINNON CORP</t>
  </si>
  <si>
    <t>WORLD ACCEPTANCE CORP</t>
  </si>
  <si>
    <t>VinCompass Corp.</t>
  </si>
  <si>
    <t>Michael Kors Holdings Ltd</t>
  </si>
  <si>
    <t>Gen Serv  INC.</t>
  </si>
  <si>
    <t>ADDENTAX GROUP CORP.</t>
  </si>
  <si>
    <t>HAEMONETICS CORP</t>
  </si>
  <si>
    <t>GRAHAM CORP</t>
  </si>
  <si>
    <t>8X8 INC /DE/</t>
  </si>
  <si>
    <t>FIRST COLOMBIA GOLD CORP.</t>
  </si>
  <si>
    <t>NETSCOUT SYSTEMS INC</t>
  </si>
  <si>
    <t>EnerSys</t>
  </si>
  <si>
    <t>MetaStat  Inc.</t>
  </si>
  <si>
    <t>NGA Holdco  LLC</t>
  </si>
  <si>
    <t>Thermon Group Holdings  Inc.</t>
  </si>
  <si>
    <t>SemGroup Corp</t>
  </si>
  <si>
    <t>NGL Energy Partners LP</t>
  </si>
  <si>
    <t>Tecnoglass Inc.</t>
  </si>
  <si>
    <t>XURA  INC.</t>
  </si>
  <si>
    <t>Quotient Ltd</t>
  </si>
  <si>
    <t>DORIAN LPG LTD.</t>
  </si>
  <si>
    <t>Qorvo  Inc.</t>
  </si>
  <si>
    <t>Baixo Relocation Services  Inc.</t>
  </si>
  <si>
    <t>Steris plc</t>
  </si>
  <si>
    <t>T-BAMM</t>
  </si>
  <si>
    <t>STIFEL FINANCIAL CORP</t>
  </si>
  <si>
    <t>DESTINATION XL GROUP  INC.</t>
  </si>
  <si>
    <t>MULTI COLOR Corp</t>
  </si>
  <si>
    <t>LIGHTING SCIENCE GROUP CORP</t>
  </si>
  <si>
    <t>AMERICAN SUPERCONDUCTOR CORP /DE/</t>
  </si>
  <si>
    <t>ABAXIS INC</t>
  </si>
  <si>
    <t>DECKERS OUTDOOR CORP</t>
  </si>
  <si>
    <t>UNIVERSAL CORP /VA/</t>
  </si>
  <si>
    <t>TRIUMPH GROUP INC</t>
  </si>
  <si>
    <t>Daybreak Oil &amp; Gas  Inc.</t>
  </si>
  <si>
    <t>VIRTUSA CORP</t>
  </si>
  <si>
    <t>Bitzio  Inc.</t>
  </si>
  <si>
    <t>Microlin Bio  Inc</t>
  </si>
  <si>
    <t>Vista Outdoor Inc.</t>
  </si>
  <si>
    <t>CSRA Inc.</t>
  </si>
  <si>
    <t>ELECTRONIC ARTS INC.</t>
  </si>
  <si>
    <t>ARCTIC CAT INC</t>
  </si>
  <si>
    <t>ACXIOM CORP</t>
  </si>
  <si>
    <t>Bristow Group Inc</t>
  </si>
  <si>
    <t>EXAR CORP</t>
  </si>
  <si>
    <t>CHICOS FAS INC</t>
  </si>
  <si>
    <t>EPLUS INC</t>
  </si>
  <si>
    <t>RBC Bearings INC</t>
  </si>
  <si>
    <t>NEW RELIC  INC.</t>
  </si>
  <si>
    <t>ADVANCED MEDICAL ISOTOPE Corp</t>
  </si>
  <si>
    <t>HDS INTERNATIONAL CORP.</t>
  </si>
  <si>
    <t>Ezy Cloud Holding Inc.</t>
  </si>
  <si>
    <t>EVERTEC  Inc.</t>
  </si>
  <si>
    <t>AMERICAN GREETINGS CORP</t>
  </si>
  <si>
    <t>MODINE MANUFACTURING CO</t>
  </si>
  <si>
    <t>VIDEO DISPLAY CORP</t>
  </si>
  <si>
    <t>VIASAT INC</t>
  </si>
  <si>
    <t>ABIOMED INC</t>
  </si>
  <si>
    <t>WARREN RESOURCES INC</t>
  </si>
  <si>
    <t>BARRETT BUSINESS SERVICES INC</t>
  </si>
  <si>
    <t>QLOGIC CORP</t>
  </si>
  <si>
    <t>TIDEWATER INC</t>
  </si>
  <si>
    <t>InvenSense Inc</t>
  </si>
  <si>
    <t>CSS INDUSTRIES INC</t>
  </si>
  <si>
    <t>Motors Liquidation Co</t>
  </si>
  <si>
    <t>AMERCO /NV/</t>
  </si>
  <si>
    <t>QUALITY SYSTEMS  INC</t>
  </si>
  <si>
    <t>CIRRUS LOGIC INC</t>
  </si>
  <si>
    <t>SONO TEK CORP</t>
  </si>
  <si>
    <t>MONRO MUFFLER BRAKE INC</t>
  </si>
  <si>
    <t>KEMET CORP</t>
  </si>
  <si>
    <t>EAGLE MATERIALS INC</t>
  </si>
  <si>
    <t>LIONS GATE ENTERTAINMENT CORP /CN/</t>
  </si>
  <si>
    <t>WESTELL TECHNOLOGIES INC</t>
  </si>
  <si>
    <t>PETMED EXPRESS INC</t>
  </si>
  <si>
    <t>INNOCOM TECHNOLOGY HOLDINGS  INC.</t>
  </si>
  <si>
    <t>Vape Holdings  Inc.</t>
  </si>
  <si>
    <t>ALPHA NETWORK ALLIANCE VENTURES INC.</t>
  </si>
  <si>
    <t>Gawk Inc.</t>
  </si>
  <si>
    <t>OncoCyte Corp</t>
  </si>
  <si>
    <t>AMERICAN SCIENCE &amp; ENGINEERING  INC.</t>
  </si>
  <si>
    <t>FASTFUNDS FINANCIAL CORP</t>
  </si>
  <si>
    <t>MICROCHIP TECHNOLOGY INC</t>
  </si>
  <si>
    <t>BIOTIME INC</t>
  </si>
  <si>
    <t>Precision Aerospace Components  Inc.</t>
  </si>
  <si>
    <t>LOGITECH INTERNATIONAL SA</t>
  </si>
  <si>
    <t>Hemcare Health Services Inc.</t>
  </si>
  <si>
    <t>FUTURELAND CORP.</t>
  </si>
  <si>
    <t>ZENOSENSE  INC.</t>
  </si>
  <si>
    <t>New Enterprise Stone &amp; Lime Co.  Inc.</t>
  </si>
  <si>
    <t>ASPIRITY HOLDINGS LLC</t>
  </si>
  <si>
    <t>Rocky Mountain Chocolate Factory  Inc.</t>
  </si>
  <si>
    <t>Majesco</t>
  </si>
  <si>
    <t>LEGG MASON  INC.</t>
  </si>
  <si>
    <t>Yuma Energy  Inc.</t>
  </si>
  <si>
    <t>Pacific Ventures Group  Inc.</t>
  </si>
  <si>
    <t>AEROPOSTALE INC</t>
  </si>
  <si>
    <t>EMMAUS LIFE SCIENCES  INC.</t>
  </si>
  <si>
    <t>CarMax Auto Owner Trust 2012-2</t>
  </si>
  <si>
    <t>CarMax Auto Owner Trust 2012-3</t>
  </si>
  <si>
    <t>CarMax Auto Owner Trust 2013-1</t>
  </si>
  <si>
    <t>CarMax Auto Owner Trust 2013-2</t>
  </si>
  <si>
    <t>CarMax Auto Owner Trust 2013-3</t>
  </si>
  <si>
    <t>Pulse Evolution Corp</t>
  </si>
  <si>
    <t>CarMax Auto Owner Trust 2013-4</t>
  </si>
  <si>
    <t>CarMax Auto Owner Trust 2014-1</t>
  </si>
  <si>
    <t>CarMax Auto Owner Trust 2014-2</t>
  </si>
  <si>
    <t>CarMax Auto Owner Trust 2014-3</t>
  </si>
  <si>
    <t>CarMax Auto Owner Trust 2014-4</t>
  </si>
  <si>
    <t>Aquarius Cannabis Inc. /NV/</t>
  </si>
  <si>
    <t>CarMax Auto Owner Trust 2015-1</t>
  </si>
  <si>
    <t>CarMax Auto Owner Trust 2015-2</t>
  </si>
  <si>
    <t>CarMax Auto Owner Trust 2015-3</t>
  </si>
  <si>
    <t>CarMax Auto Owner Trust 2015-4</t>
  </si>
  <si>
    <t>CarMax Auto Owner Trust 2016-1</t>
  </si>
  <si>
    <t>INTEGRATED DEVICE TECHNOLOGY INC</t>
  </si>
  <si>
    <t>APPLIED MICRO CIRCUITS CORP</t>
  </si>
  <si>
    <t>SYMANTEC CORP</t>
  </si>
  <si>
    <t>AVX Corp</t>
  </si>
  <si>
    <t>FLEXTRONICS INTERNATIONAL LTD.</t>
  </si>
  <si>
    <t>RALPH LAUREN CORP</t>
  </si>
  <si>
    <t>AGRITEK HOLDINGS  INC.</t>
  </si>
  <si>
    <t>APOLLO INVESTMENT CORP</t>
  </si>
  <si>
    <t>FBEC Worldwide Inc.</t>
  </si>
  <si>
    <t>hhgregg  Inc.</t>
  </si>
  <si>
    <t>Rexnord Corp</t>
  </si>
  <si>
    <t>Booz Allen Hamilton Holding Corp</t>
  </si>
  <si>
    <t>BREATHE ECIG CORP.</t>
  </si>
  <si>
    <t>EXPERIENCE ART &amp; DESIGN  INC.</t>
  </si>
  <si>
    <t>ALPHA ENERGY INC</t>
  </si>
  <si>
    <t>TAKE TWO INTERACTIVE SOFTWARE INC</t>
  </si>
  <si>
    <t>GARB OIL &amp; POWER CORP</t>
  </si>
  <si>
    <t>SPRINT Corp</t>
  </si>
  <si>
    <t>LIBERTY STAR URANIUM &amp; METALS CORP.</t>
  </si>
  <si>
    <t>Prestige Brands Holdings  Inc.</t>
  </si>
  <si>
    <t>GLADSTONE INVESTMENT CORPORATION\DE</t>
  </si>
  <si>
    <t>SARATOGA INVESTMENT CORP.</t>
  </si>
  <si>
    <t>LendingClub Corp</t>
  </si>
  <si>
    <t>NEUTRA CORP.</t>
  </si>
  <si>
    <t>Pacificorp Holdings Ltd.</t>
  </si>
  <si>
    <t>XILINX INC</t>
  </si>
  <si>
    <t>Rennova Health  Inc.</t>
  </si>
  <si>
    <t>MVC CAPITAL  INC.</t>
  </si>
  <si>
    <t>Amarantus Bioscience Holdings  Inc.</t>
  </si>
  <si>
    <t>Immune Therapeutics  Inc.</t>
  </si>
  <si>
    <t>NAC GLOBAL TECHNOLOGIES  INC.</t>
  </si>
  <si>
    <t>VOXX International Corp</t>
  </si>
  <si>
    <t>PLANTRONICS INC /CA/</t>
  </si>
  <si>
    <t>GENETHERA INC</t>
  </si>
  <si>
    <t>PLAYERS NETWORK</t>
  </si>
  <si>
    <t>SUNVESTA  INC.</t>
  </si>
  <si>
    <t>United Health Products  Inc.</t>
  </si>
  <si>
    <t>Apptigo International  Inc.</t>
  </si>
  <si>
    <t>Resort Savers  Inc.</t>
  </si>
  <si>
    <t>AGRO CAPITAL MANAGEMENT CORP.</t>
  </si>
  <si>
    <t>REPRO MED SYSTEMS INC</t>
  </si>
  <si>
    <t>PARK ELECTROCHEMICAL CORP</t>
  </si>
  <si>
    <t>OWENS ILLINOIS INC /DE/</t>
  </si>
  <si>
    <t>China Internet Cafe Holdings Group  Inc.</t>
  </si>
  <si>
    <t>eMedia Group Inc.</t>
  </si>
  <si>
    <t>CA  INC.</t>
  </si>
  <si>
    <t>CENTERPOINT ENERGY HOUSTON ELECTRIC LLC</t>
  </si>
  <si>
    <t>BLACK BOX CORP</t>
  </si>
  <si>
    <t>Virtual Learning Company  Inc.</t>
  </si>
  <si>
    <t>ENNIS  INC.</t>
  </si>
  <si>
    <t>AMBAC FINANCIAL GROUP INC</t>
  </si>
  <si>
    <t>Novelis Inc.</t>
  </si>
  <si>
    <t>Container Store Group  Inc.</t>
  </si>
  <si>
    <t>Earth Science Tech  Inc.</t>
  </si>
  <si>
    <t>Viatar CTC Solutions Inc.</t>
  </si>
  <si>
    <t>AKORN INC</t>
  </si>
  <si>
    <t>ERHC Energy Inc</t>
  </si>
  <si>
    <t>AIRGAS INC</t>
  </si>
  <si>
    <t>ARETE INDUSTRIES INC</t>
  </si>
  <si>
    <t>American Fiber Green Products  Inc.</t>
  </si>
  <si>
    <t>Franchise Holdings International  Inc.</t>
  </si>
  <si>
    <t>ENERTECK CORP</t>
  </si>
  <si>
    <t>Global Arena Holding  Inc.</t>
  </si>
  <si>
    <t>COMMVAULT SYSTEMS INC</t>
  </si>
  <si>
    <t>JAMMIN JAVA CORP.</t>
  </si>
  <si>
    <t>MAGNUM HUNTER RESOURCES CORP</t>
  </si>
  <si>
    <t>Cannabis Sativa  Inc.</t>
  </si>
  <si>
    <t>iMedicor</t>
  </si>
  <si>
    <t>Blue Line Protection Group  Inc.</t>
  </si>
  <si>
    <t>DIEGO PELLICER WORLDWIDE  INC</t>
  </si>
  <si>
    <t>IXIA</t>
  </si>
  <si>
    <t>INFRASTRUCTURE DEVELOPMENTS CORP.</t>
  </si>
  <si>
    <t>DMH INTERNATIONAL  INC.</t>
  </si>
  <si>
    <t>EMMIS COMMUNICATIONS CORP</t>
  </si>
  <si>
    <t>MCKESSON CORP</t>
  </si>
  <si>
    <t>BARRACUDA NETWORKS INC</t>
  </si>
  <si>
    <t>Black Stallion Oil &amp; Gas Inc.</t>
  </si>
  <si>
    <t>Professional Diversity Network  Inc.</t>
  </si>
  <si>
    <t>EF Hutton America  Inc.</t>
  </si>
  <si>
    <t>Golden Edge Entertainment  Inc.</t>
  </si>
  <si>
    <t>NVE CORP /NEW/</t>
  </si>
  <si>
    <t>Silver Dragon Resources Inc.</t>
  </si>
  <si>
    <t>Mobiquity Technologies  Inc.</t>
  </si>
  <si>
    <t>INNOCAP INC</t>
  </si>
  <si>
    <t>YUS INTERNATIONAL GROUP Ltd</t>
  </si>
  <si>
    <t>Asian Development Frontier Inc.</t>
  </si>
  <si>
    <t>DSG Global Inc.</t>
  </si>
  <si>
    <t>GAIN Capital Holdings  Inc.</t>
  </si>
  <si>
    <t>HYBRID Coating Technologies Inc.</t>
  </si>
  <si>
    <t>BioPharmX Corp</t>
  </si>
  <si>
    <t>LUCKYCOM INC</t>
  </si>
  <si>
    <t>COMARCO INC</t>
  </si>
  <si>
    <t>GLOBAL GOLD CORP</t>
  </si>
  <si>
    <t>MULTI SOLUTIONS II  INC</t>
  </si>
  <si>
    <t>MULTI SOFT II  INC</t>
  </si>
  <si>
    <t>Standard Metals Processing  Inc.</t>
  </si>
  <si>
    <t>True Nature Holding  Inc.</t>
  </si>
  <si>
    <t>INSPERITY  INC.</t>
  </si>
  <si>
    <t>99 CENTS ONLY STORES LLC</t>
  </si>
  <si>
    <t>BBCN BANCORP INC</t>
  </si>
  <si>
    <t>UNITED ONLINE INC</t>
  </si>
  <si>
    <t>MAXLINEAR INC</t>
  </si>
  <si>
    <t>TIME WARNER CABLE INC.</t>
  </si>
  <si>
    <t>1st Century Bancshares  Inc.</t>
  </si>
  <si>
    <t>Bravo Multinational Inc.</t>
  </si>
  <si>
    <t>U-Vend  Inc.</t>
  </si>
  <si>
    <t>Brenham Oil &amp; Gas Corp.</t>
  </si>
  <si>
    <t>New Global Energy  Inc.</t>
  </si>
  <si>
    <t>TurnKey Capital  Inc.</t>
  </si>
  <si>
    <t>HOMETOWN INTERNATIONAL  INC.</t>
  </si>
  <si>
    <t>Provident Bancorp  Inc.</t>
  </si>
  <si>
    <t>HAHA GENERATION CORP.</t>
  </si>
  <si>
    <t>HARDINGE INC</t>
  </si>
  <si>
    <t>TREE TOP INDUSTRIES  INC.</t>
  </si>
  <si>
    <t>QUESTAR GAS CO</t>
  </si>
  <si>
    <t>ENZON PHARMACEUTICALS  INC.</t>
  </si>
  <si>
    <t>QUESTAR CORP</t>
  </si>
  <si>
    <t>UNIVERSAL DETECTION TECHNOLOGY</t>
  </si>
  <si>
    <t>QUESTAR PIPELINE CO</t>
  </si>
  <si>
    <t>MFRI INC</t>
  </si>
  <si>
    <t>PCM  INC.</t>
  </si>
  <si>
    <t>US CONCRETE INC</t>
  </si>
  <si>
    <t>ORAGENICS INC</t>
  </si>
  <si>
    <t>MOPALS.COM  INC.</t>
  </si>
  <si>
    <t>ATHENA SILVER CORP</t>
  </si>
  <si>
    <t>Facebook Inc</t>
  </si>
  <si>
    <t>5BARz International  Inc.</t>
  </si>
  <si>
    <t>Higher One Holdings  Inc.</t>
  </si>
  <si>
    <t>MyDx  Inc.</t>
  </si>
  <si>
    <t>EliteSoft Global Inc.</t>
  </si>
  <si>
    <t>Montbriar  Inc.</t>
  </si>
  <si>
    <t>Gas Natural Inc.</t>
  </si>
  <si>
    <t>CENTRAL EUROPEAN MEDIA ENTERPRISES LTD</t>
  </si>
  <si>
    <t>RED HAT INC</t>
  </si>
  <si>
    <t>Chanticleer Holdings  Inc.</t>
  </si>
  <si>
    <t>SquareTwo Financial Corp</t>
  </si>
  <si>
    <t>PIER 1 IMPORTS INC/DE</t>
  </si>
  <si>
    <t>CLAIRES STORES INC</t>
  </si>
  <si>
    <t>VIRCO MFG CORPORATION</t>
  </si>
  <si>
    <t>Medefile International  Inc.</t>
  </si>
  <si>
    <t>FINISH LINE INC /IN/</t>
  </si>
  <si>
    <t>BED BATH &amp; BEYOND INC</t>
  </si>
  <si>
    <t>SUPERVALU INC</t>
  </si>
  <si>
    <t>Acacia Diversified Holdings  Inc.</t>
  </si>
  <si>
    <t>BIOCEPT INC</t>
  </si>
  <si>
    <t>CareDx  Inc.</t>
  </si>
  <si>
    <t>HANSEN MEDICAL INC</t>
  </si>
  <si>
    <t>HALCON RESOURCES CORP</t>
  </si>
  <si>
    <t>Odenza Corp.</t>
  </si>
  <si>
    <t>CONSTELLATION BRANDS  INC.</t>
  </si>
  <si>
    <t>APOGEE ENTERPRISES  INC.</t>
  </si>
  <si>
    <t>RITE AID CORP</t>
  </si>
  <si>
    <t>IMPAC MORTGAGE HOLDINGS INC</t>
  </si>
  <si>
    <t>CARMAX INC</t>
  </si>
  <si>
    <t>China Media Group CORP</t>
  </si>
  <si>
    <t>GREENSHIFT CORP</t>
  </si>
  <si>
    <t>SYNERGY RESOURCES Corp</t>
  </si>
  <si>
    <t>808 RENEWABLE ENERGY CORP</t>
  </si>
  <si>
    <t>Free Flow  Inc.</t>
  </si>
  <si>
    <t>VIVUS INC</t>
  </si>
  <si>
    <t>FOREVERGREEN WORLDWIDE CORP</t>
  </si>
  <si>
    <t>HEARTLAND PAYMENT SYSTEMS INC</t>
  </si>
  <si>
    <t>MamaMancini's Holdings  Inc.</t>
  </si>
  <si>
    <t>Pazoo  Inc.</t>
  </si>
  <si>
    <t>Brushy Resources  Inc.</t>
  </si>
  <si>
    <t>Atacama Resources International  Inc.</t>
  </si>
  <si>
    <t>LAKELAND INDUSTRIES INC</t>
  </si>
  <si>
    <t>AZZ INC</t>
  </si>
  <si>
    <t>STREAMLINE HEALTH SOLUTIONS INC.</t>
  </si>
  <si>
    <t>Xactly Corp</t>
  </si>
  <si>
    <t>Novus Robotics Inc.</t>
  </si>
  <si>
    <t>BIOFUELS POWER CORP</t>
  </si>
  <si>
    <t>ColorStars Group</t>
  </si>
  <si>
    <t>Lans Holdings  Inc.</t>
  </si>
  <si>
    <t>Cosmos Holdings Inc.</t>
  </si>
  <si>
    <t>FlikMedia  Inc.</t>
  </si>
  <si>
    <t>BakerCorp International  Inc.</t>
  </si>
  <si>
    <t>STL Marketing Group  Inc.</t>
  </si>
  <si>
    <t>KEY ENERGY SERVICES INC</t>
  </si>
  <si>
    <t>CalAmp Corp.</t>
  </si>
  <si>
    <t>GENIE GATEWAY</t>
  </si>
  <si>
    <t>MOTIVATING THE MASSES INC</t>
  </si>
  <si>
    <t>MABVAX THERAPEUTICS HOLDINGS  INC.</t>
  </si>
  <si>
    <t>XcelMobility Inc.</t>
  </si>
  <si>
    <t>Advanced Emissions Solutions  Inc.</t>
  </si>
  <si>
    <t>Petrogress  Inc.</t>
  </si>
  <si>
    <t>Evans Brewing Co Inc.</t>
  </si>
  <si>
    <t>INTERNATIONAL PACKAGING &amp; LOGISTICS GROUP INC.</t>
  </si>
  <si>
    <t>NEOGENOMICS INC</t>
  </si>
  <si>
    <t>EMPIRE GLOBAL CORP.</t>
  </si>
  <si>
    <t>Shiner International  Inc.</t>
  </si>
  <si>
    <t>Adaptive Medias  Inc.</t>
  </si>
  <si>
    <t>American Business Services  Inc.</t>
  </si>
  <si>
    <t>LookSmart Group  Inc.</t>
  </si>
  <si>
    <t>Medico International Inc.</t>
  </si>
  <si>
    <t>Quest Solution  Inc.</t>
  </si>
  <si>
    <t>GREENESTONE HEALTHCARE CORP</t>
  </si>
  <si>
    <t>WORLD HEALTH ENERGY HOLDINGS  INC.</t>
  </si>
  <si>
    <t>ARGAN INC</t>
  </si>
  <si>
    <t>QAD INC</t>
  </si>
  <si>
    <t>STEELCASE INC</t>
  </si>
  <si>
    <t>SPENDSMART NETWORKS  INC.</t>
  </si>
  <si>
    <t>Prism Technologies Group  Inc.</t>
  </si>
  <si>
    <t>ATLAS AMERICA SERIES 25-2004 (A) L.P.</t>
  </si>
  <si>
    <t>ATLAS AMERICA SERIES 25-2004 (B) L.P.</t>
  </si>
  <si>
    <t>iTalk Inc.</t>
  </si>
  <si>
    <t>US Highland  Inc.</t>
  </si>
  <si>
    <t>Bancorp of New Jersey  Inc.</t>
  </si>
  <si>
    <t>Galena Biopharma  Inc.</t>
  </si>
  <si>
    <t>Atlas Resources Public #18-2009 (C) L.P.</t>
  </si>
  <si>
    <t>PayMeOn  Inc.</t>
  </si>
  <si>
    <t>Citadel Exploration  Inc.</t>
  </si>
  <si>
    <t>FISION Corp</t>
  </si>
  <si>
    <t>LIFEAPPS BRANDS INC.</t>
  </si>
  <si>
    <t>Real Estate Contacts  Inc.</t>
  </si>
  <si>
    <t>CHUY'S HOLDINGS  INC.</t>
  </si>
  <si>
    <t>Nostalgia Family Brands  Inc.</t>
  </si>
  <si>
    <t>RLJ ENTERTAINMENT  INC.</t>
  </si>
  <si>
    <t>US-DADI FERTILIZER INDUSTRY INTERNATIONAL  INC.</t>
  </si>
  <si>
    <t>SunVault Energy  Inc.</t>
  </si>
  <si>
    <t>USA Capital Management Inc.</t>
  </si>
  <si>
    <t>CAT9 Group Inc.</t>
  </si>
  <si>
    <t>DD's Deluxe Rod Holder  Inc.</t>
  </si>
  <si>
    <t>GLOBAL HEALTHCARE REIT  INC.</t>
  </si>
  <si>
    <t>Kiwibox.Com  Inc.</t>
  </si>
  <si>
    <t>TRANSAMERICA ADVISORS LIFE INSURANCE Co</t>
  </si>
  <si>
    <t>ENERGY FOCUS  INC/DE</t>
  </si>
  <si>
    <t>Aly Energy Services  Inc.</t>
  </si>
  <si>
    <t>MGT CAPITAL INVESTMENTS INC</t>
  </si>
  <si>
    <t>CHINA LONGYI GROUP INTERNATIONAL HOLDINGS LTD</t>
  </si>
  <si>
    <t>Geospatial Corp</t>
  </si>
  <si>
    <t>US ENERGY CORP</t>
  </si>
  <si>
    <t>ONE WORLD HOLDINGS  INC.</t>
  </si>
  <si>
    <t>CALMARE THERAPEUTICS Inc</t>
  </si>
  <si>
    <t>ZAP</t>
  </si>
  <si>
    <t>PREMIER HOLDING CORP.</t>
  </si>
  <si>
    <t>CHINAWE COM INC</t>
  </si>
  <si>
    <t>TRANSGENOMIC INC</t>
  </si>
  <si>
    <t>Agritech Worldwide  Inc.</t>
  </si>
  <si>
    <t>COMMUNITY SHORES BANK CORP</t>
  </si>
  <si>
    <t>ECOSPHERE TECHNOLOGIES INC</t>
  </si>
  <si>
    <t>FINDEX COM INC</t>
  </si>
  <si>
    <t>TAPIMMUNE INC</t>
  </si>
  <si>
    <t>VERTICAL COMPUTER SYSTEMS INC</t>
  </si>
  <si>
    <t>VALIDIAN CORP</t>
  </si>
  <si>
    <t>New Century Resources Corp</t>
  </si>
  <si>
    <t>AlumiFuel Power Corp</t>
  </si>
  <si>
    <t>Delta International Oil &amp; Gas Inc.</t>
  </si>
  <si>
    <t>American Lorain CORP</t>
  </si>
  <si>
    <t>NUTRA PHARMA CORP</t>
  </si>
  <si>
    <t>ATLAS AMERICA PUBLIC #9 LTD.</t>
  </si>
  <si>
    <t>FULLCIRCLE REGISTRY INC</t>
  </si>
  <si>
    <t>WORDLOGIC CORP</t>
  </si>
  <si>
    <t>ATLAS AMERICA PUBLIC #10 LTD.</t>
  </si>
  <si>
    <t>VISCOUNT SYSTEMS INC</t>
  </si>
  <si>
    <t>GROWLIFE  INC.</t>
  </si>
  <si>
    <t>Wizard World  Inc.</t>
  </si>
  <si>
    <t>Desert Hawk Gold Corp.</t>
  </si>
  <si>
    <t>ADAMANT DRI PROCESSING &amp; MINERALS GROUP</t>
  </si>
  <si>
    <t>GOLD BILLION GROUP HOLDINGS Ltd</t>
  </si>
  <si>
    <t>ATLAS AMERICA PUBLIC #11-2002 LTD.</t>
  </si>
  <si>
    <t>Seaniemac International  Ltd.</t>
  </si>
  <si>
    <t>New York &amp; Company  Inc.</t>
  </si>
  <si>
    <t>ATLAS AMERICA PUBLIC #12-2003 Limited Partnership</t>
  </si>
  <si>
    <t>TRANSAKT LTD.</t>
  </si>
  <si>
    <t>Safco Investment Holding Corp.</t>
  </si>
  <si>
    <t>VIASPACE Inc.</t>
  </si>
  <si>
    <t>INNER SYSTEMS INC</t>
  </si>
  <si>
    <t>Triangle Petroleum Corp</t>
  </si>
  <si>
    <t>StrikeForce Technologies Inc.</t>
  </si>
  <si>
    <t>MMRGlobal  Inc.</t>
  </si>
  <si>
    <t>Atlas America Public #14-2004 L.P.</t>
  </si>
  <si>
    <t>B Green Innovations  Inc.</t>
  </si>
  <si>
    <t>Vystar Corp</t>
  </si>
  <si>
    <t>Q2Power Technologies  Inc.</t>
  </si>
  <si>
    <t>Umatrin Holding Ltd</t>
  </si>
  <si>
    <t>Probe Manufacturing Inc</t>
  </si>
  <si>
    <t>WEYLAND TECH  INC.</t>
  </si>
  <si>
    <t>Atlas America Public #15-2005 (A) L.P.</t>
  </si>
  <si>
    <t>Atlas America Public #14-2005 (A) L.P.</t>
  </si>
  <si>
    <t>Atlas America Series 26-2005 L.P.</t>
  </si>
  <si>
    <t>Atlas America Public #15-2006 (B) L.P.</t>
  </si>
  <si>
    <t>Jerrick Media Holdings  Inc.</t>
  </si>
  <si>
    <t>HK BATTERY TECHNOLOGY INC</t>
  </si>
  <si>
    <t>MEDICAL IMAGING CORP.</t>
  </si>
  <si>
    <t>FITLIFE BRANDS  INC.</t>
  </si>
  <si>
    <t>Atlas Resources Public #16-2007 (A) L.P.</t>
  </si>
  <si>
    <t>GTX CORP</t>
  </si>
  <si>
    <t>ChinaNet Online Holdings  Inc.</t>
  </si>
  <si>
    <t>Atlas America Series 27-2006 L.P.</t>
  </si>
  <si>
    <t>Plastic2Oil  Inc.</t>
  </si>
  <si>
    <t>RAADR  INC.</t>
  </si>
  <si>
    <t>CHINA SHIANYUN GROUP CORP.  LTD.</t>
  </si>
  <si>
    <t>Tongji Healthcare Group  Inc.</t>
  </si>
  <si>
    <t>KSIX Media Holdings  Inc.</t>
  </si>
  <si>
    <t>IGEN NETWORKS CORP</t>
  </si>
  <si>
    <t>Verso Paper Holdings LLC</t>
  </si>
  <si>
    <t>Atlas Resources Public #17-2008 (B) L.P.</t>
  </si>
  <si>
    <t>Atlas Resources Public #17-2007 (A) L.P.</t>
  </si>
  <si>
    <t>EZJR  Inc.</t>
  </si>
  <si>
    <t>ARTVENTIVE MEDICAL GROUP  INC.</t>
  </si>
  <si>
    <t>LINGERIE FIGHTING CHAMPIONSHIPS  INC.</t>
  </si>
  <si>
    <t>Entia Biosciences  Inc.</t>
  </si>
  <si>
    <t>North America Frac Sand  Inc.</t>
  </si>
  <si>
    <t>RemSleep Holdings Inc.</t>
  </si>
  <si>
    <t>Friendable  Inc.</t>
  </si>
  <si>
    <t>First Choice Healthcare Solutions  Inc.</t>
  </si>
  <si>
    <t>CANNASYS INC</t>
  </si>
  <si>
    <t>SINO PAYMENTS  INC.</t>
  </si>
  <si>
    <t>Biostar Pharmaceuticals  Inc.</t>
  </si>
  <si>
    <t>Salamander Innisbrook  LLC</t>
  </si>
  <si>
    <t>ASAP Expo  Inc.</t>
  </si>
  <si>
    <t>Targeted Medical Pharma  Inc.</t>
  </si>
  <si>
    <t>Glucose Health  Inc.</t>
  </si>
  <si>
    <t>Verso Corp</t>
  </si>
  <si>
    <t>HOLLYWOOD ENTERTAINMENT EDU HOLDING  INC.</t>
  </si>
  <si>
    <t>BRIGHTLANE CORP.</t>
  </si>
  <si>
    <t>Epoxy  Inc.</t>
  </si>
  <si>
    <t>Atlas Resources Public #18-2009 (B) L.P.</t>
  </si>
  <si>
    <t>Atlas Resources Public #18-2008 (A) L.P.</t>
  </si>
  <si>
    <t>Wonhe High-Tech International  Inc.</t>
  </si>
  <si>
    <t>SILVER HILL MINES INC</t>
  </si>
  <si>
    <t>POWERDYNE INTERNATIONAL  INC.</t>
  </si>
  <si>
    <t>VIRTUAL PIGGY  INC.</t>
  </si>
  <si>
    <t>LILIS ENERGY  INC.</t>
  </si>
  <si>
    <t>NORTHSIGHT CAPITAL  INC.</t>
  </si>
  <si>
    <t>DIRECTVIEW HOLDINGS INC</t>
  </si>
  <si>
    <t>BioCorRx Inc.</t>
  </si>
  <si>
    <t>SurePure  Inc.</t>
  </si>
  <si>
    <t>Zentric  Inc.</t>
  </si>
  <si>
    <t>Champion Pain Care Corp</t>
  </si>
  <si>
    <t>AlphaPoint Technology  Inc.</t>
  </si>
  <si>
    <t>New Asia Holdings  Inc.</t>
  </si>
  <si>
    <t>Atlas Resources Series 28-2010 L.P.</t>
  </si>
  <si>
    <t>CACHET FINANCIAL SOLUTIONS  INC.</t>
  </si>
  <si>
    <t>Yinhang Internet Technologies Development  Inc.</t>
  </si>
  <si>
    <t>Ener-Core  Inc.</t>
  </si>
  <si>
    <t>ONLINE DISRUPTIVE TECHNOLOGIES  INC.</t>
  </si>
  <si>
    <t>GOLD UNION INC.</t>
  </si>
  <si>
    <t>Original Source Entertainment  Inc.</t>
  </si>
  <si>
    <t>Yummy Flies  Inc.</t>
  </si>
  <si>
    <t>Empire Global Gaming  Inc.</t>
  </si>
  <si>
    <t>GOLDEN GLOBAL CORP.</t>
  </si>
  <si>
    <t>MJ Pharmaceuticals Inc.</t>
  </si>
  <si>
    <t>PLH Products  Inc.</t>
  </si>
  <si>
    <t>LED Lighting Co</t>
  </si>
  <si>
    <t>ARABELLA EXPLORATION  INC.</t>
  </si>
  <si>
    <t>JPX Global Inc.</t>
  </si>
  <si>
    <t>USMD Holdings  Inc.</t>
  </si>
  <si>
    <t>CV Sciences  Inc.</t>
  </si>
  <si>
    <t>AXIM BIOTECHNOLOGIES  INC.</t>
  </si>
  <si>
    <t>Icagen  Inc.</t>
  </si>
  <si>
    <t>China Xingbang Industry Group Inc.</t>
  </si>
  <si>
    <t>BLACKCRAFT CULT  INC.</t>
  </si>
  <si>
    <t>Medifirst Solutions  Inc.</t>
  </si>
  <si>
    <t>Thunder Energies Corp</t>
  </si>
  <si>
    <t>VII Peaks Co-Optivist Income BDC II  Inc.</t>
  </si>
  <si>
    <t>Aroga Holding Corp.</t>
  </si>
  <si>
    <t>FRESH MEDICAL LABORATORIES  INC.</t>
  </si>
  <si>
    <t>BullsNBears.com  Inc.</t>
  </si>
  <si>
    <t>US NUCLEAR CORP.</t>
  </si>
  <si>
    <t>Southcross Energy Partners  L.P.</t>
  </si>
  <si>
    <t>Sector 5  Inc.</t>
  </si>
  <si>
    <t>ENVIROMART COMPANIES  INC.</t>
  </si>
  <si>
    <t>CUR MEDIA  INC.</t>
  </si>
  <si>
    <t>China Commercial Credit Inc</t>
  </si>
  <si>
    <t>Wowio  Inc.</t>
  </si>
  <si>
    <t>Next Graphite  Inc.</t>
  </si>
  <si>
    <t>E-Qure Corp.</t>
  </si>
  <si>
    <t>xG TECHNOLOGY  INC.</t>
  </si>
  <si>
    <t>Nxt-ID  Inc.</t>
  </si>
  <si>
    <t>Alphabet Holding Company  Inc.</t>
  </si>
  <si>
    <t>BLACKBOXSTOCKS INC.</t>
  </si>
  <si>
    <t>Cell Source  Inc.</t>
  </si>
  <si>
    <t>Jishanye  Inc.</t>
  </si>
  <si>
    <t>UMED HOLDINGS  INC.</t>
  </si>
  <si>
    <t>BIOADAPTIVES  INC.</t>
  </si>
  <si>
    <t>Strategic Environmental &amp; Energy Resources  Inc.</t>
  </si>
  <si>
    <t>Green Parts International  Inc.</t>
  </si>
  <si>
    <t>VINCE HOLDING CORP.</t>
  </si>
  <si>
    <t>Advanced Environmental Petroleum Producers Inc.</t>
  </si>
  <si>
    <t>House of BODS Fitness  Inc.</t>
  </si>
  <si>
    <t>Blow &amp; Drive Interlock Corp</t>
  </si>
  <si>
    <t>IMC Holdings  Inc.</t>
  </si>
  <si>
    <t>Principal Solar  Inc.</t>
  </si>
  <si>
    <t>Mount TAM Biotechnologies  Inc.</t>
  </si>
  <si>
    <t>TWINLAB CONSOLIDATED HOLDINGS  INC.</t>
  </si>
  <si>
    <t>Medovex Corp.</t>
  </si>
  <si>
    <t>WORLDS MALL INC</t>
  </si>
  <si>
    <t>ZHEN DING RESOURCES INC.</t>
  </si>
  <si>
    <t>Royal Bakery Holdings  Inc.</t>
  </si>
  <si>
    <t>Peekay Boutiques  Inc.</t>
  </si>
  <si>
    <t>Image Chain Group Limited  Inc.</t>
  </si>
  <si>
    <t>1847 Holdings LLC</t>
  </si>
  <si>
    <t>LONGBAU GROUP INC</t>
  </si>
  <si>
    <t>PeerLogix  Inc.</t>
  </si>
  <si>
    <t>IDdriven  Inc.</t>
  </si>
  <si>
    <t>Amchi Gendynamy Science Corp</t>
  </si>
  <si>
    <t>Code Rebel Corp</t>
  </si>
  <si>
    <t>SAFE LANE SYSTEMS  INC.</t>
  </si>
  <si>
    <t>Earth Gen-Biofuel  Inc.</t>
  </si>
  <si>
    <t>Fenix Parts  Inc.</t>
  </si>
  <si>
    <t>CLOUDWEB  INC.</t>
  </si>
  <si>
    <t>Cleaner Yoga Mat  Inc.</t>
  </si>
  <si>
    <t>Medicine Man Technologies  Inc.</t>
  </si>
  <si>
    <t>ROID GROUP  INC.</t>
  </si>
  <si>
    <t>Balance Labs  Inc.</t>
  </si>
  <si>
    <t>EverythingAmped  Inc.</t>
  </si>
  <si>
    <t>Woodland Holdings Corp</t>
  </si>
  <si>
    <t>Original Source Music  Inc.</t>
  </si>
  <si>
    <t>Vet Online Supply Inc</t>
  </si>
  <si>
    <t>Alpine Auto Brokers  Inc.</t>
  </si>
  <si>
    <t>Frontier Digital Media Group  Inc.</t>
  </si>
  <si>
    <t>Park Place Energy Inc.</t>
  </si>
  <si>
    <t>CEN BIOTECH INC</t>
  </si>
  <si>
    <t>REGENT TECHNOLOGIES INC</t>
  </si>
  <si>
    <t>Lattice INC</t>
  </si>
  <si>
    <t>GOLDRICH MINING CO</t>
  </si>
  <si>
    <t>MESABI TRUST</t>
  </si>
  <si>
    <t>NBTY INC</t>
  </si>
  <si>
    <t>WOUND MANAGEMENT TECHNOLOGIES  INC.</t>
  </si>
  <si>
    <t>FREDS INC</t>
  </si>
  <si>
    <t>TRANS WORLD ENTERTAINMENT CORP</t>
  </si>
  <si>
    <t>QKL Stores Inc.</t>
  </si>
  <si>
    <t>Omagine  Inc.</t>
  </si>
  <si>
    <t>INFINITY ENERGY RESOURCES  INC</t>
  </si>
  <si>
    <t>CHEROKEE INC</t>
  </si>
  <si>
    <t>MICRONET ENERTEC TECHNOLOGIES  INC.</t>
  </si>
  <si>
    <t>Green Technology Solutions  Inc.</t>
  </si>
  <si>
    <t>Destination Maternity Corp</t>
  </si>
  <si>
    <t>PERRY ELLIS INTERNATIONAL  INC</t>
  </si>
  <si>
    <t>N-VIRO INTERNATIONAL CORP</t>
  </si>
  <si>
    <t>BALTIC INTERNATIONAL USA INC</t>
  </si>
  <si>
    <t>MENDOCINO BREWING CO INC</t>
  </si>
  <si>
    <t>BROADVISION INC</t>
  </si>
  <si>
    <t>FLEXPOINT SENSOR SYSTEMS INC</t>
  </si>
  <si>
    <t>COATES INTERNATIONAL LTD \DE\</t>
  </si>
  <si>
    <t>Meridian Waste Solutions  Inc.</t>
  </si>
  <si>
    <t>SEACHANGE INTERNATIONAL INC</t>
  </si>
  <si>
    <t>SEAFARER EXPLORATION CORP</t>
  </si>
  <si>
    <t>NightCulture  Inc.</t>
  </si>
  <si>
    <t>Global Future City Holding Inc.</t>
  </si>
  <si>
    <t>China Carbon Graphite Group  Inc.</t>
  </si>
  <si>
    <t>Citi Trends Inc</t>
  </si>
  <si>
    <t>OOMA INC</t>
  </si>
  <si>
    <t>Affinia Group Intermediate Holdings Inc.</t>
  </si>
  <si>
    <t>OncBioMune Pharmaceuticals  Inc</t>
  </si>
  <si>
    <t>Green Standard Technologies  Inc.</t>
  </si>
  <si>
    <t>Titan Machinery Inc.</t>
  </si>
  <si>
    <t>TransBiotec  Inc.</t>
  </si>
  <si>
    <t>Sears Oil &amp; Gas</t>
  </si>
  <si>
    <t>Star Mountain Resources  Inc.</t>
  </si>
  <si>
    <t>INDIA ECOMMERCE CORP</t>
  </si>
  <si>
    <t>Excel Corp</t>
  </si>
  <si>
    <t>KonaRed Corp</t>
  </si>
  <si>
    <t>Eastside Distilling  Inc.</t>
  </si>
  <si>
    <t>Health-Right Discoveries  Inc.</t>
  </si>
  <si>
    <t>Nu-Med Plus  Inc.</t>
  </si>
  <si>
    <t>Notis Global  Inc.</t>
  </si>
  <si>
    <t>Staffing Group  Ltd.</t>
  </si>
  <si>
    <t>SUCCESS ENTERTAINMENT GROUP INTERNATIONAL INC.</t>
  </si>
  <si>
    <t>PREMIER PACIFIC CONSTRUCTION  INC.</t>
  </si>
  <si>
    <t>HotApp International  Inc.</t>
  </si>
  <si>
    <t>BMP Holdings Inc.</t>
  </si>
  <si>
    <t>DAVIDsTEA Inc.</t>
  </si>
  <si>
    <t>BIOTRICITY INC.</t>
  </si>
  <si>
    <t>Randolph Acquisitions  Inc.</t>
  </si>
  <si>
    <t>Universal Holdings &amp; Consulting  Inc.</t>
  </si>
  <si>
    <t>Kayak Ridge Acquisition Corp</t>
  </si>
  <si>
    <t>Atlantis Gaming Corp</t>
  </si>
  <si>
    <t>Khang Gia Holding  Inc.</t>
  </si>
  <si>
    <t>Hiking Ridge Acquisition Corp</t>
  </si>
  <si>
    <t>Riding Ridge Acquisition Corp</t>
  </si>
  <si>
    <t>Digital Donations Technologies  Inc.</t>
  </si>
  <si>
    <t>Quantum Medical Technologies Corp</t>
  </si>
  <si>
    <t>Western Ridge Acquisition Corp</t>
  </si>
  <si>
    <t>WORLDS INC</t>
  </si>
  <si>
    <t>EnergyTEK Corp.</t>
  </si>
  <si>
    <t>QUANTRX BIOMEDICAL CORP</t>
  </si>
  <si>
    <t>Wave Sync Corp.</t>
  </si>
  <si>
    <t>BON TON STORES INC</t>
  </si>
  <si>
    <t>LAYNE CHRISTENSEN CO</t>
  </si>
  <si>
    <t>BIOETHICS LTD</t>
  </si>
  <si>
    <t>SPANISH BROADCASTING SYSTEM INC</t>
  </si>
  <si>
    <t>American Cannabis Company  Inc.</t>
  </si>
  <si>
    <t>Axion Power International  Inc.</t>
  </si>
  <si>
    <t>OMPHALOS  CORP</t>
  </si>
  <si>
    <t>DYNARESOURCE INC</t>
  </si>
  <si>
    <t>POSITIVEID Corp</t>
  </si>
  <si>
    <t>Giggles N' Hugs  Inc.</t>
  </si>
  <si>
    <t>Crowd Shares Aftermarket  Inc.</t>
  </si>
  <si>
    <t>Incoming  Inc.</t>
  </si>
  <si>
    <t>Surna Inc.</t>
  </si>
  <si>
    <t>SPORTS FIELD HOLDINGS  INC.</t>
  </si>
  <si>
    <t>TRHF Co LIMITED  INC.</t>
  </si>
  <si>
    <t>Teardroppers  Inc.</t>
  </si>
  <si>
    <t>SkyWolf Wind Turbine Corp</t>
  </si>
  <si>
    <t>AMERICAN EDUCATION CENTER  INC.</t>
  </si>
  <si>
    <t>HD View 360 Inc.</t>
  </si>
  <si>
    <t>ZONZIA MEDIA  INC.</t>
  </si>
  <si>
    <t>PRESIDENTIAL REALTY CORP/DE/</t>
  </si>
  <si>
    <t>Saker Aviation Services  Inc.</t>
  </si>
  <si>
    <t>WILSHIRE BANCORP INC</t>
  </si>
  <si>
    <t>ABCO Energy  Inc.</t>
  </si>
  <si>
    <t>Montalvo Spirits  Inc.</t>
  </si>
  <si>
    <t>MOMENTOUS ENTERTAINMENT GROUP INC</t>
  </si>
  <si>
    <t>T.A.G. Acquisitions Ltd.</t>
  </si>
  <si>
    <t>PAVmed Inc.</t>
  </si>
  <si>
    <t>Ollie's Bargain Outlet Holdings  Inc.</t>
  </si>
  <si>
    <t>MILLER INDUSTRIES INC</t>
  </si>
  <si>
    <t>REGENERX BIOPHARMACEUTICALS INC</t>
  </si>
  <si>
    <t>EnerJex Resources  Inc.</t>
  </si>
  <si>
    <t>STEIN MART INC</t>
  </si>
  <si>
    <t>REDWOOD MORTGAGE INVESTORS VIII</t>
  </si>
  <si>
    <t>ASTORIA FINANCIAL CORP</t>
  </si>
  <si>
    <t>GILLA INC.</t>
  </si>
  <si>
    <t>KIRKLAND'S  INC</t>
  </si>
  <si>
    <t>Eight Dragons Co.</t>
  </si>
  <si>
    <t>ROSTOCK VENTURES CORP</t>
  </si>
  <si>
    <t>NEW ASIA ENERGY INC.</t>
  </si>
  <si>
    <t>SignPath Pharma  Inc.</t>
  </si>
  <si>
    <t>VapAria Corp</t>
  </si>
  <si>
    <t>Toys R Us Property Co II  LLC</t>
  </si>
  <si>
    <t>COMMITTED CAPITAL ACQUISITION Corp II</t>
  </si>
  <si>
    <t>Lifelogger Technologies Corp</t>
  </si>
  <si>
    <t>DULUTH HOLDINGS INC.</t>
  </si>
  <si>
    <t>PRIMEENERGY CORP</t>
  </si>
  <si>
    <t>VICTORY ENERGY CORP</t>
  </si>
  <si>
    <t>PRECISION CASTPARTS CORP</t>
  </si>
  <si>
    <t>ASTRO MED INC /NEW/</t>
  </si>
  <si>
    <t>VAPOR CORP.</t>
  </si>
  <si>
    <t>DIAMONDHEAD CASINO CORP</t>
  </si>
  <si>
    <t>Legend Oil &amp; Gas  Ltd.</t>
  </si>
  <si>
    <t>HERCULES OFFSHORE  INC.</t>
  </si>
  <si>
    <t>Cyalume Technologies Holdings  Inc.</t>
  </si>
  <si>
    <t>Global 2.0</t>
  </si>
  <si>
    <t>China Auto Logistics Inc</t>
  </si>
  <si>
    <t>VPR Brands  LP.</t>
  </si>
  <si>
    <t>TALON REAL ESTATE HOLDING CORP.</t>
  </si>
  <si>
    <t>American Brewing Company  Inc.</t>
  </si>
  <si>
    <t>PHOTOMEDEX INC</t>
  </si>
  <si>
    <t>UNITED STATES BASKETBALL LEAGUE INC</t>
  </si>
  <si>
    <t>MITCHAM INDUSTRIES INC</t>
  </si>
  <si>
    <t>BLASTGARD INTERNATIONAL INC</t>
  </si>
  <si>
    <t>Solis Tek  Inc./NV</t>
  </si>
  <si>
    <t>Violin Memory Inc</t>
  </si>
  <si>
    <t>APEX 2 INC.</t>
  </si>
  <si>
    <t>Polonia Bancorp Inc</t>
  </si>
  <si>
    <t>Illumitry Corp.</t>
  </si>
  <si>
    <t>Wells Fargo Commercial Mortgage Trust 2015-NXS1</t>
  </si>
  <si>
    <t>Wells Fargo Commercial Mortgage Trust 2015-C28</t>
  </si>
  <si>
    <t>Wells Fargo Commercial Mortgage Trust 2015-C29</t>
  </si>
  <si>
    <t>Wells Fargo Commercial Mortgage Trust 2015-NXS2</t>
  </si>
  <si>
    <t>Wells Fargo Commercial Mortgage Trust 2015-C30</t>
  </si>
  <si>
    <t>Wells Fargo Commercial Mortgage Trust 2015-SG1</t>
  </si>
  <si>
    <t>Wells Fargo Commercial Mortgage Trust 2015-LC22</t>
  </si>
  <si>
    <t>Wells Fargo Commercial Mortgage Trust 2015-NXS4</t>
  </si>
  <si>
    <t>THUNDER MOUNTAIN GOLD INC</t>
  </si>
  <si>
    <t>iSign Solutions Inc.</t>
  </si>
  <si>
    <t>MILESTONE SCIENTIFIC INC.</t>
  </si>
  <si>
    <t>2050 MOTORS  INC.</t>
  </si>
  <si>
    <t>ENVIRO VORAXIAL TECHNOLOGY INC</t>
  </si>
  <si>
    <t>Yosen Group  Inc.</t>
  </si>
  <si>
    <t>Searchlight Minerals Corp.</t>
  </si>
  <si>
    <t>SPINDLE  INC.</t>
  </si>
  <si>
    <t>PETROSONIC ENERGY  INC.</t>
  </si>
  <si>
    <t>AIRWARE LABS CORP.</t>
  </si>
  <si>
    <t>NUVEL HOLDINGS  INC.</t>
  </si>
  <si>
    <t>ENDONOVO THERAPEUTICS  INC.</t>
  </si>
  <si>
    <t>Wells Fargo Commercial Mortgage Trust 2012-LC5</t>
  </si>
  <si>
    <t>Wells Fargo Commercial Mortgage Trust 2013-LC12</t>
  </si>
  <si>
    <t>WFRBS Commercial Mortgage Trust 2013-C16</t>
  </si>
  <si>
    <t>WFRBS Commercial Mortgage Trust 2014-C20</t>
  </si>
  <si>
    <t>GoDaddy Inc.</t>
  </si>
  <si>
    <t>WFRBS Commercial Mortgage Trust 2014-C22</t>
  </si>
  <si>
    <t>Jernigan Capital  Inc.</t>
  </si>
  <si>
    <t>Wells Fargo Commercial Mortgage Trust 2014-LC18</t>
  </si>
  <si>
    <t>Wells Fargo Commercial Mortgage Trust 2015-C26</t>
  </si>
  <si>
    <t>CEC ENTERTAINMENT INC</t>
  </si>
  <si>
    <t>PRESSURE BIOSCIENCES INC</t>
  </si>
  <si>
    <t>AIR INDUSTRIES GROUP</t>
  </si>
  <si>
    <t>EMAV Holdings  Inc.</t>
  </si>
  <si>
    <t>Inventergy Global  Inc.</t>
  </si>
  <si>
    <t>Comstock Holding Companies  Inc.</t>
  </si>
  <si>
    <t>CREATIVE REALITIES  INC.</t>
  </si>
  <si>
    <t>GLOBALINK  LTD.</t>
  </si>
  <si>
    <t>BG Medicine  Inc.</t>
  </si>
  <si>
    <t>ORIGINCLEAR  INC.</t>
  </si>
  <si>
    <t>MATTRESS FIRM HOLDING CORP.</t>
  </si>
  <si>
    <t>POWIN CORP</t>
  </si>
  <si>
    <t>WFRBS COMMERCIAL MORTGAGE TRUST 2012-C8</t>
  </si>
  <si>
    <t>COMM 2014-CCRE15 Mortgage Trust</t>
  </si>
  <si>
    <t>SIGMA DESIGNS INC</t>
  </si>
  <si>
    <t>ICONIX BRAND GROUP  INC.</t>
  </si>
  <si>
    <t>APPLIANCE RECYCLING CENTERS OF AMERICA INC /MN</t>
  </si>
  <si>
    <t>Vertex Energy Inc.</t>
  </si>
  <si>
    <t>SHOE CARNIVAL INC</t>
  </si>
  <si>
    <t>GlyEco  Inc.</t>
  </si>
  <si>
    <t>BAYNON INTERNATIONAL CORP</t>
  </si>
  <si>
    <t>Cartesian  Inc.</t>
  </si>
  <si>
    <t>AMANASU ENVIRONMENT CORP</t>
  </si>
  <si>
    <t>Gotham Capital Holdings  Inc.</t>
  </si>
  <si>
    <t>DUOS TECHNOLOGIES GROUP  INC.</t>
  </si>
  <si>
    <t>Real Goods Solar  Inc.</t>
  </si>
  <si>
    <t>Gordmans Stores  Inc.</t>
  </si>
  <si>
    <t>Soul &amp; Vibe Interactive Inc.</t>
  </si>
  <si>
    <t>SEARS HOMETOWN &amp; OUTLET STORES  INC.</t>
  </si>
  <si>
    <t>Sunstock  Inc.</t>
  </si>
  <si>
    <t>US FOODS  INC.</t>
  </si>
  <si>
    <t>Harmony Merger Corp.</t>
  </si>
  <si>
    <t>Avangrid  Inc.</t>
  </si>
  <si>
    <t>CONTINENTAL MATERIALS CORP</t>
  </si>
  <si>
    <t>EASTMAN KODAK CO</t>
  </si>
  <si>
    <t>REAL ESTATE ASSOCIATES LTD II</t>
  </si>
  <si>
    <t>REAL ESTATE ASSOCIATES LTD IV</t>
  </si>
  <si>
    <t>TOFUTTI BRANDS INC</t>
  </si>
  <si>
    <t>LANDS' END  INC.</t>
  </si>
  <si>
    <t>QUEST PATENT RESEARCH CORP</t>
  </si>
  <si>
    <t>EVINE Live Inc.</t>
  </si>
  <si>
    <t>APPLIED ENERGETICS  INC.</t>
  </si>
  <si>
    <t>TRINET GROUP INC</t>
  </si>
  <si>
    <t>DEER VALLEY CORP</t>
  </si>
  <si>
    <t>IRIDEX CORP</t>
  </si>
  <si>
    <t>Identiv  Inc.</t>
  </si>
  <si>
    <t>PATRIOT NATIONAL BANCORP INC</t>
  </si>
  <si>
    <t>KRISPY KREME DOUGHNUTS INC</t>
  </si>
  <si>
    <t>OCULUS VISIONTECH INC.</t>
  </si>
  <si>
    <t>AMANASU TECHNO HOLDINGS CORP</t>
  </si>
  <si>
    <t>usell.com  Inc.</t>
  </si>
  <si>
    <t>Foundation Healthcare  Inc.</t>
  </si>
  <si>
    <t>DOLPHIN DIGITAL MEDIA INC</t>
  </si>
  <si>
    <t>Eagle Bulk Shipping Inc.</t>
  </si>
  <si>
    <t>Cornerworld Corp</t>
  </si>
  <si>
    <t>CTC Media  Inc.</t>
  </si>
  <si>
    <t>VEEVA SYSTEMS INC</t>
  </si>
  <si>
    <t>IMH Financial Corp</t>
  </si>
  <si>
    <t>GelTech Solutions  Inc.</t>
  </si>
  <si>
    <t>Pulse Beverage Corp</t>
  </si>
  <si>
    <t>HEALTHEQUITY INC</t>
  </si>
  <si>
    <t>ENERGY &amp; TECHNOLOGY CORP.</t>
  </si>
  <si>
    <t>Hartman Short Term Income Properties XX  Inc.</t>
  </si>
  <si>
    <t>PIONEER POWER SOLUTIONS  INC.</t>
  </si>
  <si>
    <t>Nimble Storage Inc</t>
  </si>
  <si>
    <t>NowNews Digital Media Technology Co. Ltd.</t>
  </si>
  <si>
    <t>AmpliTech Group  Inc.</t>
  </si>
  <si>
    <t>WMI Liquidating Trust</t>
  </si>
  <si>
    <t>Spirit International  Inc.</t>
  </si>
  <si>
    <t>Kibush Capital Corp</t>
  </si>
  <si>
    <t>OPTILEAF  INC.</t>
  </si>
  <si>
    <t>WILLIAMS SONOMA INC</t>
  </si>
  <si>
    <t>MOVADO GROUP INC</t>
  </si>
  <si>
    <t>Emerald Medical Applications Corp.</t>
  </si>
  <si>
    <t>SCORES HOLDING CO INC</t>
  </si>
  <si>
    <t>ZYNEX INC</t>
  </si>
  <si>
    <t>SEEN ON SCREEN TV INC.</t>
  </si>
  <si>
    <t>SEMTECH CORP</t>
  </si>
  <si>
    <t>URBAN OUTFITTERS INC</t>
  </si>
  <si>
    <t>KENTUCKY BANCSHARES INC /KY/</t>
  </si>
  <si>
    <t>BLONDER TONGUE LABORATORIES INC</t>
  </si>
  <si>
    <t>TENGASCO INC</t>
  </si>
  <si>
    <t>Entertainment Gaming Asia Inc.</t>
  </si>
  <si>
    <t>ADCARE HEALTH SYSTEMS  INC</t>
  </si>
  <si>
    <t>SPAR GROUP INC</t>
  </si>
  <si>
    <t>SIERRA MONITOR CORP /CA/</t>
  </si>
  <si>
    <t>AUXILIO INC</t>
  </si>
  <si>
    <t>ARADIGM CORP</t>
  </si>
  <si>
    <t>AMARILLO BIOSCIENCES INC</t>
  </si>
  <si>
    <t>RETROSPETTIVA INC</t>
  </si>
  <si>
    <t>UNITED STATES ANTIMONY CORP</t>
  </si>
  <si>
    <t>PAID INC</t>
  </si>
  <si>
    <t>BIO KEY INTERNATIONAL INC</t>
  </si>
  <si>
    <t>EMPIRE RESOURCES INC /NEW/</t>
  </si>
  <si>
    <t>hopTo Inc.</t>
  </si>
  <si>
    <t>GOLDEN QUEEN MINING CO LTD</t>
  </si>
  <si>
    <t>Modsys International Ltd</t>
  </si>
  <si>
    <t>Echo Therapeutics  Inc.</t>
  </si>
  <si>
    <t>OMNICOMM SYSTEMS INC</t>
  </si>
  <si>
    <t>SMARTFINANCIAL INC.</t>
  </si>
  <si>
    <t>WAL MART STORES INC</t>
  </si>
  <si>
    <t>Interpace Diagnostics Group  Inc.</t>
  </si>
  <si>
    <t>New Concept Energy  Inc.</t>
  </si>
  <si>
    <t>Orbital Tracking Corp.</t>
  </si>
  <si>
    <t>SALISBURY BANCORP INC</t>
  </si>
  <si>
    <t>ATLANTICA INC</t>
  </si>
  <si>
    <t>PROTEO INC</t>
  </si>
  <si>
    <t>RiceBran Technologies</t>
  </si>
  <si>
    <t>NETWORK 1 TECHNOLOGIES INC</t>
  </si>
  <si>
    <t>ALBANY MOLECULAR RESEARCH INC</t>
  </si>
  <si>
    <t>LIME ENERGY CO.</t>
  </si>
  <si>
    <t>FLEXIBLE SOLUTIONS INTERNATIONAL INC</t>
  </si>
  <si>
    <t>FUEL PERFORMANCE SOLUTIONS  INC.</t>
  </si>
  <si>
    <t>INTEGRATED ENVIRONMENTAL TECHNOLOGIES  LTD.</t>
  </si>
  <si>
    <t>ELEPHANT TALK COMMUNICATIONS CORP</t>
  </si>
  <si>
    <t>PAYMENT DATA SYSTEMS INC</t>
  </si>
  <si>
    <t>U.S. NeuroSurgical Holdings  Inc.</t>
  </si>
  <si>
    <t>TABLE TRAC INC</t>
  </si>
  <si>
    <t>CHINA YIDA HOLDING  CO.</t>
  </si>
  <si>
    <t>HCSB FINANCIAL CORP</t>
  </si>
  <si>
    <t>TRANSATLANTIC PETROLEUM LTD.</t>
  </si>
  <si>
    <t>TELKONET INC</t>
  </si>
  <si>
    <t>OURPETS CO</t>
  </si>
  <si>
    <t>IntelGenx Technologies Corp.</t>
  </si>
  <si>
    <t>MANHATTAN SCIENTIFICS INC</t>
  </si>
  <si>
    <t>Net Medical Xpress Solutions  Inc.</t>
  </si>
  <si>
    <t>AMERICAN REALTY INVESTORS INC</t>
  </si>
  <si>
    <t>REFLECT SCIENTIFIC INC</t>
  </si>
  <si>
    <t>VerifyMe  Inc.</t>
  </si>
  <si>
    <t>GROW SOLUTIONS HOLDINGS  INC.</t>
  </si>
  <si>
    <t>ARGOS THERAPEUTICS INC</t>
  </si>
  <si>
    <t>CHINA PHARMA HOLDINGS  INC.</t>
  </si>
  <si>
    <t>CITIBANK CREDIT CARD ISSUANCE TRUST</t>
  </si>
  <si>
    <t>FRONTIER OILFIELD SERVICES INC</t>
  </si>
  <si>
    <t>CAFEPRESS INC.</t>
  </si>
  <si>
    <t>ROGERS INTERNATIONAL RAW MATERIALS FUND LP</t>
  </si>
  <si>
    <t>DAIS ANALYTIC CORP</t>
  </si>
  <si>
    <t>WELLS REAL ESTATE FUND XIII L P</t>
  </si>
  <si>
    <t>ProtoKinetix  Inc.</t>
  </si>
  <si>
    <t>CAPRICOR THERAPEUTICS  INC.</t>
  </si>
  <si>
    <t>CATASYS  INC.</t>
  </si>
  <si>
    <t>PACIFIC HEALTH CARE ORGANIZATION INC</t>
  </si>
  <si>
    <t>COMMONWEALTH INCOME &amp; GROWTH FUND IV</t>
  </si>
  <si>
    <t>HEALTH DISCOVERY CORP</t>
  </si>
  <si>
    <t>MISSION BROADCASTING INC</t>
  </si>
  <si>
    <t>CHINA AUTOMOTIVE SYSTEMS INC</t>
  </si>
  <si>
    <t>SPEEDEMISSIONS INC</t>
  </si>
  <si>
    <t>COMPETITIVE COMPANIES INC</t>
  </si>
  <si>
    <t>PACIFIC VEGAS GLOBAL STRATEGIES INC</t>
  </si>
  <si>
    <t>VERINT SYSTEMS INC</t>
  </si>
  <si>
    <t>Brownie's Marine Group  Inc</t>
  </si>
  <si>
    <t>ULURU Inc.</t>
  </si>
  <si>
    <t>Uni-Pixel</t>
  </si>
  <si>
    <t>FIRST NATIONAL FUNDING LLC</t>
  </si>
  <si>
    <t>Boston Carriers  Inc.</t>
  </si>
  <si>
    <t>CHASE ISSUANCE TRUST</t>
  </si>
  <si>
    <t>RealSource Residential  Inc</t>
  </si>
  <si>
    <t>MARTIN MIDSTREAM PARTNERS LP</t>
  </si>
  <si>
    <t>USAA ACCEPTANCE LLC</t>
  </si>
  <si>
    <t>ATEL CAPITAL EQUIPMENT FUND X LLC</t>
  </si>
  <si>
    <t>Arno Therapeutics  Inc</t>
  </si>
  <si>
    <t>NEPHROS INC</t>
  </si>
  <si>
    <t>Altegris Winton Futures Fund  L.P.</t>
  </si>
  <si>
    <t>IMMUNE PHARMACEUTICALS INC</t>
  </si>
  <si>
    <t>NF Energy Saving Corp</t>
  </si>
  <si>
    <t>RFS HOLDING LLC</t>
  </si>
  <si>
    <t>VESTIN FUND III LLC</t>
  </si>
  <si>
    <t>SilverSun Technologies  Inc.</t>
  </si>
  <si>
    <t>GI DYNAMICS  INC.</t>
  </si>
  <si>
    <t>COMMONWEALTH INCOME &amp; GROWTH FUND V</t>
  </si>
  <si>
    <t>Equinox Frontier Funds</t>
  </si>
  <si>
    <t>Joway Health Industries Group Inc</t>
  </si>
  <si>
    <t>root9B Technologies  Inc.</t>
  </si>
  <si>
    <t>LEHMAN ABS CORP GOLDMAN SACHS CAP 1 SEC BACKED SER 2004-6</t>
  </si>
  <si>
    <t>Cord Blood America  Inc.</t>
  </si>
  <si>
    <t>Synchrony Credit Card Master Note Trust</t>
  </si>
  <si>
    <t>OPGEN INC</t>
  </si>
  <si>
    <t>ReachLocal Inc</t>
  </si>
  <si>
    <t>Eiger BioPharmaceuticals  Inc.</t>
  </si>
  <si>
    <t>InsPro Technologies Corp</t>
  </si>
  <si>
    <t>FSP GALLERIA NORTH CORP</t>
  </si>
  <si>
    <t>Galaxy Gaming  Inc.</t>
  </si>
  <si>
    <t>American CareSource Holdings  Inc.</t>
  </si>
  <si>
    <t>Madison Technologies Inc.</t>
  </si>
  <si>
    <t>TSS  Inc.</t>
  </si>
  <si>
    <t>Ottawa Savings Bancorp  Inc.</t>
  </si>
  <si>
    <t>SLM Private Credit Student Loan Trust 2003-B</t>
  </si>
  <si>
    <t>SLM Private Credit Student Loan Trust 2003-A</t>
  </si>
  <si>
    <t>SLM Private Credit Student Loan Trust 2003-C</t>
  </si>
  <si>
    <t>Akers Biosciences Inc</t>
  </si>
  <si>
    <t>ROKWADER  INC.</t>
  </si>
  <si>
    <t>HOLLOMAN ENERGY CORP</t>
  </si>
  <si>
    <t>NantKwest  Inc.</t>
  </si>
  <si>
    <t>NanoVibronix  Inc.</t>
  </si>
  <si>
    <t>Vestin Realty Mortgage II  Inc</t>
  </si>
  <si>
    <t>Goodman Networks Inc</t>
  </si>
  <si>
    <t>aTYR PHARMA INC</t>
  </si>
  <si>
    <t>Aldeyra Therapeutics  Inc.</t>
  </si>
  <si>
    <t>Homeowners of America Holding Corp</t>
  </si>
  <si>
    <t>Chaparral Energy  Inc.</t>
  </si>
  <si>
    <t>Carbylan Therapeutics  Inc.</t>
  </si>
  <si>
    <t>SANDRIDGE ENERGY INC</t>
  </si>
  <si>
    <t>Commonwealth Income &amp; Growth Fund VI</t>
  </si>
  <si>
    <t>SPLUNK INC</t>
  </si>
  <si>
    <t>Max Sound Corp</t>
  </si>
  <si>
    <t>International Stem Cell CORP</t>
  </si>
  <si>
    <t>Leo Motors  Inc.</t>
  </si>
  <si>
    <t>TALMER BANCORP  INC.</t>
  </si>
  <si>
    <t>AUDIOEYE INC</t>
  </si>
  <si>
    <t>Sanchez Production Partners LP</t>
  </si>
  <si>
    <t>WESTERN CAPITAL RESOURCES  INC.</t>
  </si>
  <si>
    <t>AMYRIS  INC.</t>
  </si>
  <si>
    <t>Remark Media  Inc.</t>
  </si>
  <si>
    <t>Bio-AMD Inc.</t>
  </si>
  <si>
    <t>Bluefire Renewables  Inc.</t>
  </si>
  <si>
    <t>EYEGATE PHARMACEUTICALS INC</t>
  </si>
  <si>
    <t>BOX INC</t>
  </si>
  <si>
    <t>Green Brick Partners  Inc.</t>
  </si>
  <si>
    <t>3DICON CORP</t>
  </si>
  <si>
    <t>THT Heat Transfer Technology  Inc.</t>
  </si>
  <si>
    <t>CareView Communications Inc</t>
  </si>
  <si>
    <t>ICON LEASING FUND TWELVE  LLC</t>
  </si>
  <si>
    <t>AMERICAN DG ENERGY INC</t>
  </si>
  <si>
    <t>FSP 50 South Tenth Street Corp</t>
  </si>
  <si>
    <t>Cyberspace Vita  Inc.</t>
  </si>
  <si>
    <t>COPsync  Inc.</t>
  </si>
  <si>
    <t>Equinox Frontier Balanced Fund</t>
  </si>
  <si>
    <t>Equinox Frontier Heritage Fund</t>
  </si>
  <si>
    <t>Equinox Frontier Winton Fund</t>
  </si>
  <si>
    <t>Equinox Frontier Select Fund</t>
  </si>
  <si>
    <t>Equinox Frontier Long/Short Commodity Fund</t>
  </si>
  <si>
    <t>Howard Bancorp Inc</t>
  </si>
  <si>
    <t>Gevo  Inc.</t>
  </si>
  <si>
    <t>Endurance Exploration Group  Inc.</t>
  </si>
  <si>
    <t>MAN FRM MANAGED FUTURES STRATEGIES LLC</t>
  </si>
  <si>
    <t>ADESTO TECHNOLOGIES Corp</t>
  </si>
  <si>
    <t>IRIS BIOTECHNOLOGIES INC</t>
  </si>
  <si>
    <t>SUMMER ENERGY HOLDINGS INC</t>
  </si>
  <si>
    <t>First National Master Note Trust</t>
  </si>
  <si>
    <t>FlexShopper  Inc.</t>
  </si>
  <si>
    <t>lululemon athletica inc.</t>
  </si>
  <si>
    <t>Envision Solar International  Inc.</t>
  </si>
  <si>
    <t>COOL TECHNOLOGIES  INC.</t>
  </si>
  <si>
    <t>ONE Group Hospitality  Inc.</t>
  </si>
  <si>
    <t>ELRAY RESOURCES  INC.</t>
  </si>
  <si>
    <t>MYOS RENS TECHNOLOGY INC.</t>
  </si>
  <si>
    <t>HCi Viocare</t>
  </si>
  <si>
    <t>FLUOROPHARMA MEDICAL  INC.</t>
  </si>
  <si>
    <t>Ulta Salon  Cosmetics &amp; Fragrance  Inc.</t>
  </si>
  <si>
    <t>Omnitek Engineering Corp</t>
  </si>
  <si>
    <t>Abtech Holdings  Inc.</t>
  </si>
  <si>
    <t>Cardinal Energy Group  Inc.</t>
  </si>
  <si>
    <t>Theron Resource Group</t>
  </si>
  <si>
    <t>Reef Oil &amp; Gas Income &amp; Development Fund III LP</t>
  </si>
  <si>
    <t>INNOVUS PHARMACEUTICALS  INC.</t>
  </si>
  <si>
    <t>Kraig Biocraft Laboratories  Inc</t>
  </si>
  <si>
    <t>Lithium Corp</t>
  </si>
  <si>
    <t>SANUWAVE Health  Inc.</t>
  </si>
  <si>
    <t>Eos Petro  Inc.</t>
  </si>
  <si>
    <t>Data Storage Corp</t>
  </si>
  <si>
    <t>GENSPERA INC</t>
  </si>
  <si>
    <t>Noranda Aluminum Holding CORP</t>
  </si>
  <si>
    <t>ZETA ACQUISITION CORP I</t>
  </si>
  <si>
    <t>ZETA ACQUISITION CORP II</t>
  </si>
  <si>
    <t>MULTIMEDIA PLATFORMS INC.</t>
  </si>
  <si>
    <t>Moody National REIT I  Inc.</t>
  </si>
  <si>
    <t>LEAF Equipment Finance Fund 4  L.P.</t>
  </si>
  <si>
    <t>FLURIDA GROUP INC</t>
  </si>
  <si>
    <t>Bergio International  Inc.</t>
  </si>
  <si>
    <t>Oak Valley Bancorp</t>
  </si>
  <si>
    <t>TORCHLIGHT ENERGY RESOURCES INC</t>
  </si>
  <si>
    <t>American Housing Income Trust  Inc.</t>
  </si>
  <si>
    <t>Propell Technologies Group  Inc.</t>
  </si>
  <si>
    <t>Forbes Energy Services Ltd.</t>
  </si>
  <si>
    <t>China Network Media  Inc.</t>
  </si>
  <si>
    <t>MARRONE BIO INNOVATIONS INC</t>
  </si>
  <si>
    <t>Demand Pooling  Inc.</t>
  </si>
  <si>
    <t>PROTEOSTASIS THERAPEUTICS  INC.</t>
  </si>
  <si>
    <t>Strategic Realty Trust  Inc.</t>
  </si>
  <si>
    <t>ICON Equipment &amp; Corporate Infrastructure Fund Fourteen  L.P.</t>
  </si>
  <si>
    <t>MOBIVITY HOLDINGS CORP.</t>
  </si>
  <si>
    <t>Redwood Mortgage Investors IX</t>
  </si>
  <si>
    <t>Bullfrog Gold Corp.</t>
  </si>
  <si>
    <t>Embassy Bancorp  Inc.</t>
  </si>
  <si>
    <t>Commonwealth Income &amp; Growth Fund VII  LP</t>
  </si>
  <si>
    <t>Equinox Frontier Diversified Fund</t>
  </si>
  <si>
    <t>Equinox Frontier Masters Fund</t>
  </si>
  <si>
    <t>GROTE MOLEN INC</t>
  </si>
  <si>
    <t>MJ Holdings  Inc.</t>
  </si>
  <si>
    <t>HomeTown Bankshares Corp</t>
  </si>
  <si>
    <t>Atlantic Capital Bancshares  Inc.</t>
  </si>
  <si>
    <t>ATEL 14  LLC</t>
  </si>
  <si>
    <t>Vuzix Corp</t>
  </si>
  <si>
    <t>Atlanticus Holdings Corp</t>
  </si>
  <si>
    <t>Resource Real Estate Opportunity REIT  Inc.</t>
  </si>
  <si>
    <t>Domain Extremes Inc.</t>
  </si>
  <si>
    <t>Altegris QIM Futures Fund  L.P.</t>
  </si>
  <si>
    <t>Boston Therapeutics  Inc.</t>
  </si>
  <si>
    <t>American Farmland Co</t>
  </si>
  <si>
    <t>SLM Student Loan Trust 2010-1</t>
  </si>
  <si>
    <t>SLM Student Loan Trust 2010-2</t>
  </si>
  <si>
    <t>EXPRESS  INC.</t>
  </si>
  <si>
    <t>Freeze Tag  Inc.</t>
  </si>
  <si>
    <t>BARFRESH FOOD GROUP INC.</t>
  </si>
  <si>
    <t>ATOSSA GENETICS INC</t>
  </si>
  <si>
    <t>Sino Agro Food  Inc.</t>
  </si>
  <si>
    <t>SQN Alternative Investment Fund III  L.P.</t>
  </si>
  <si>
    <t>Sequoia Mortgage Trust 2010-H1</t>
  </si>
  <si>
    <t>Black Ridge Oil &amp; Gas  Inc.</t>
  </si>
  <si>
    <t>Turtle Beach Corp</t>
  </si>
  <si>
    <t>BOSTON OMAHA Corp</t>
  </si>
  <si>
    <t>IZEA  Inc.</t>
  </si>
  <si>
    <t>3PEA INTERNATIONAL  INC.</t>
  </si>
  <si>
    <t>COLE CREDIT PROPERTY TRUST IV  INC.</t>
  </si>
  <si>
    <t>FlatWorld Acquisition Corp.</t>
  </si>
  <si>
    <t>Wolverine Bancorp  Inc.</t>
  </si>
  <si>
    <t>Upland Software  Inc.</t>
  </si>
  <si>
    <t>BioRestorative Therapies  Inc.</t>
  </si>
  <si>
    <t>POW! ENTERTAINMENT  INC.</t>
  </si>
  <si>
    <t>RIGHTSCORP  INC.</t>
  </si>
  <si>
    <t>SharpSpring  Inc.</t>
  </si>
  <si>
    <t>Integrity Applications  Inc.</t>
  </si>
  <si>
    <t>Marathon Patent Group  Inc.</t>
  </si>
  <si>
    <t>Ideal Power Inc.</t>
  </si>
  <si>
    <t>Sequoia Mortgage Trust 2011-1</t>
  </si>
  <si>
    <t>SLM Student Loan Trust 2011-1</t>
  </si>
  <si>
    <t>SLM Student Loan Trust 2011-2</t>
  </si>
  <si>
    <t>SLM Student Loan Trust 2011-3</t>
  </si>
  <si>
    <t>Poage Bankshares  Inc.</t>
  </si>
  <si>
    <t>China United Insurance Service  Inc.</t>
  </si>
  <si>
    <t>Delta Tucker Holdings  Inc.</t>
  </si>
  <si>
    <t>Be Active Holdings  Inc.</t>
  </si>
  <si>
    <t>National Waste Management Holdings  Inc.</t>
  </si>
  <si>
    <t>PREMIER BIOMEDICAL INC</t>
  </si>
  <si>
    <t>Plymouth Industrial REIT Inc.</t>
  </si>
  <si>
    <t>ATEL 15  LLC</t>
  </si>
  <si>
    <t>Spiral Toys Inc.</t>
  </si>
  <si>
    <t>Triton Pacific Investment Corporation  Inc.</t>
  </si>
  <si>
    <t>FIRST RATE STAFFING Corp</t>
  </si>
  <si>
    <t>CohBar  Inc.</t>
  </si>
  <si>
    <t>Citibank  N.A.  as depositor of Citibank Credit Card Issuance Trust</t>
  </si>
  <si>
    <t>West End Indiana Bancshares  Inc.</t>
  </si>
  <si>
    <t>TILLY'S  INC.</t>
  </si>
  <si>
    <t>Home Treasure Finders  Inc.</t>
  </si>
  <si>
    <t>Mirna Therapeutics  Inc.</t>
  </si>
  <si>
    <t>Community Choice Financial Inc.</t>
  </si>
  <si>
    <t>EUROSITE POWER INC.</t>
  </si>
  <si>
    <t>Sequoia Mortgage Trust 2011-2</t>
  </si>
  <si>
    <t>Morgan Stanley Capital I Trust 2011-C3</t>
  </si>
  <si>
    <t>Restoration Hardware Holdings Inc</t>
  </si>
  <si>
    <t>Sysorex Global</t>
  </si>
  <si>
    <t>Petrus Resources Corp</t>
  </si>
  <si>
    <t>BREF HR  LLC</t>
  </si>
  <si>
    <t>Power REIT</t>
  </si>
  <si>
    <t>RXi Pharmaceuticals Corp</t>
  </si>
  <si>
    <t>Midstates Petroleum Company  Inc.</t>
  </si>
  <si>
    <t>McorpCX  Inc.</t>
  </si>
  <si>
    <t>UBS-Citigroup Commercial Mortgage Trust 2011-C1</t>
  </si>
  <si>
    <t>SLM Student Loan Trust 2012-1</t>
  </si>
  <si>
    <t>TECOGEN INC.</t>
  </si>
  <si>
    <t>TYME TECHNOLOGIES  INC.</t>
  </si>
  <si>
    <t>AEP Texas Central Transition Funding III LLC</t>
  </si>
  <si>
    <t>WFB Funding  LLC</t>
  </si>
  <si>
    <t>SLM Student Loan Trust 2012-2</t>
  </si>
  <si>
    <t>Sound Financial Bancorp  Inc.</t>
  </si>
  <si>
    <t>CARDAX  INC.</t>
  </si>
  <si>
    <t>MVP REIT  Inc.</t>
  </si>
  <si>
    <t>SLM Student Loan Trust 2012-3</t>
  </si>
  <si>
    <t>Yew Bio-Pharm Group  Inc.</t>
  </si>
  <si>
    <t>eWELLNESS HEALTHCARE Corp</t>
  </si>
  <si>
    <t>TriLinc Global Impact Fund LLC</t>
  </si>
  <si>
    <t>SLM Student Loan Trust 2012-5</t>
  </si>
  <si>
    <t>Morgan Stanley Bank of America Merrill Lynch Trust 2012-C5</t>
  </si>
  <si>
    <t>International Metals Streaming Corp.</t>
  </si>
  <si>
    <t>Sequoia Mortgage Trust 2012-4</t>
  </si>
  <si>
    <t>SLM Student Loan Trust 2012-6</t>
  </si>
  <si>
    <t>Citigroup Commercial Mortgage Trust 2012-GC8</t>
  </si>
  <si>
    <t>EPIC STORES CORP.</t>
  </si>
  <si>
    <t>Morgan Stanley Bank of America Merrill Lynch Trust 2012-C6</t>
  </si>
  <si>
    <t>Resource Real Estate Opportunity REIT II  Inc.</t>
  </si>
  <si>
    <t>SLM Student Loan Trust 2012-7</t>
  </si>
  <si>
    <t>Algodon Wines &amp; Luxury Development Group  Inc.</t>
  </si>
  <si>
    <t>SQN AIF IV  L.P.</t>
  </si>
  <si>
    <t>Enumeral Biomedical Holdings  Inc.</t>
  </si>
  <si>
    <t>Accurexa Inc.</t>
  </si>
  <si>
    <t>Cavendish Futures Fund LLC</t>
  </si>
  <si>
    <t>Synergy CHC Corp.</t>
  </si>
  <si>
    <t>Harvard Apparatus Regenerative Technology  Inc.</t>
  </si>
  <si>
    <t>Morgan Stanley Bank of America Merrill Lynch Trust 2013-C7</t>
  </si>
  <si>
    <t>Sequoia Mortgage Trust 2013-2</t>
  </si>
  <si>
    <t>SLM Student Loan Trust 2013-1</t>
  </si>
  <si>
    <t>BBOOTH  INC.</t>
  </si>
  <si>
    <t>Griffin-American Healthcare REIT III  Inc.</t>
  </si>
  <si>
    <t>Sequoia Mortgage Trust 2013-3</t>
  </si>
  <si>
    <t>Bio-En Holdings Corp.</t>
  </si>
  <si>
    <t>Youngevity International  Inc.</t>
  </si>
  <si>
    <t>Ticket Corp.</t>
  </si>
  <si>
    <t>Truven Holding Corp.</t>
  </si>
  <si>
    <t>Truven Health Analytics Inc.</t>
  </si>
  <si>
    <t>Morgan Stanley Bank of America Merrill Lynch Trust 2013-C9</t>
  </si>
  <si>
    <t>Virginia National Bankshares Corp</t>
  </si>
  <si>
    <t>Indoor Harvest Corp</t>
  </si>
  <si>
    <t>SLM Student Loan Trust 2013-2</t>
  </si>
  <si>
    <t>Citigroup Commercial Mortgage Trust 2013-GCJ11</t>
  </si>
  <si>
    <t>Zero Gravity Solutions  Inc.</t>
  </si>
  <si>
    <t>Sequoia Mortgage Trust 2013-6</t>
  </si>
  <si>
    <t>Galenfeha  Inc.</t>
  </si>
  <si>
    <t>ATEL 16  LLC</t>
  </si>
  <si>
    <t>SLM Student Loan Trust 2013-3</t>
  </si>
  <si>
    <t>SHENGDATECH LIQUIDATING TRUST</t>
  </si>
  <si>
    <t>AZURE MIDSTREAM PARTNERS  LP</t>
  </si>
  <si>
    <t>Morgan Stanley Bank of America Merrill Lynch Trust 2013-C10</t>
  </si>
  <si>
    <t>OHIO PHASE-IN-RECOVERY FUNDING LLC</t>
  </si>
  <si>
    <t>Vapetek Inc.</t>
  </si>
  <si>
    <t>Cole Credit Property Trust V  Inc.</t>
  </si>
  <si>
    <t>SLM Student Loan Trust 2013-4</t>
  </si>
  <si>
    <t>Matinas BioPharma Holdings  Inc.</t>
  </si>
  <si>
    <t>STG Group  Inc.</t>
  </si>
  <si>
    <t>AXIOM HOLDINGS  INC.</t>
  </si>
  <si>
    <t>SLM Student Loan Trust 2013-5</t>
  </si>
  <si>
    <t>McGraw-Hill Global Education Intermediate Holdings  LLC</t>
  </si>
  <si>
    <t>Citigroup Commercial Mortgage Trust 2013-GC15</t>
  </si>
  <si>
    <t>Morgan Stanley Bank of America Merrill Lynch Trust 2013-C12</t>
  </si>
  <si>
    <t>Appalachian Consumer Rate Relief Funding LLC</t>
  </si>
  <si>
    <t>Gyrodyne  LLC</t>
  </si>
  <si>
    <t>MassRoots  Inc.</t>
  </si>
  <si>
    <t>SLM Student Loan Trust 2013-6</t>
  </si>
  <si>
    <t>Citigroup Commercial Mortgage Trust 2013-GC17</t>
  </si>
  <si>
    <t>Morgan Stanley Bank of America Merrill Lynch Trust 2013-C13</t>
  </si>
  <si>
    <t>Riverview Financial Corp</t>
  </si>
  <si>
    <t>California Republic Auto Receivables Trust 2013-2</t>
  </si>
  <si>
    <t>Cabela's Master Credit Card Trust</t>
  </si>
  <si>
    <t>Cabela's Credit Card Master Note Trust</t>
  </si>
  <si>
    <t>RERAISE GAMING CORP</t>
  </si>
  <si>
    <t>NuGene International  Inc.</t>
  </si>
  <si>
    <t>SLM Student Loan Trust 2014-1</t>
  </si>
  <si>
    <t>Morgan Stanley Bank of America Merrill Lynch Trust 2014-C14</t>
  </si>
  <si>
    <t>Greenpro Capital Corp.</t>
  </si>
  <si>
    <t>Safety Quick Lighting &amp; Fans Corp.</t>
  </si>
  <si>
    <t>SLM Student Loan Trust 2014-2</t>
  </si>
  <si>
    <t>Superior Drilling Products  Inc.</t>
  </si>
  <si>
    <t>MEDRESPONSE CORP.</t>
  </si>
  <si>
    <t>Morgan Stanley Bank of America Merrill Lynch Trust 2014-C15</t>
  </si>
  <si>
    <t>Citigroup Commercial Mortgage Trust 2014-GC19</t>
  </si>
  <si>
    <t>USAA Auto Owner Trust 2014-1</t>
  </si>
  <si>
    <t>Adeptus Health Inc.</t>
  </si>
  <si>
    <t>California Republic Auto Receivables Trust 2014-1</t>
  </si>
  <si>
    <t>TCW Direct Lending LLC</t>
  </si>
  <si>
    <t>Citigroup Commercial Mortgage Trust 2014-GC21</t>
  </si>
  <si>
    <t>Green Bancorp  Inc.</t>
  </si>
  <si>
    <t>Morgan Stanley Bank of America Merrill Lynch Trust 2014-C16</t>
  </si>
  <si>
    <t>Navient Student Loan Trust 2014-1</t>
  </si>
  <si>
    <t>California Republic Auto Receivables Trust 2014-2</t>
  </si>
  <si>
    <t>Modern Round Entertainment Corp</t>
  </si>
  <si>
    <t>Griffin-Benefit Street Partners BDC Corp.</t>
  </si>
  <si>
    <t>Morgan Stanley Bank of America Merrill Lynch Trust 2014-C17</t>
  </si>
  <si>
    <t>Citigroup Commercial Mortgage Trust 2014-GC23</t>
  </si>
  <si>
    <t>Navient Student Loan Trust 2014-2</t>
  </si>
  <si>
    <t>Navient Student Loan Trust 2014-3</t>
  </si>
  <si>
    <t>Navient Student Loan Trust 2014-4</t>
  </si>
  <si>
    <t>Navient Student Loan Trust 2014-5</t>
  </si>
  <si>
    <t>Navient Student Loan Trust 2014-6</t>
  </si>
  <si>
    <t>Navient Student Loan Trust 2014-7</t>
  </si>
  <si>
    <t>Moody National REIT II  Inc.</t>
  </si>
  <si>
    <t>California Republic Auto Receivables Trust 2014-3</t>
  </si>
  <si>
    <t>J. Alexander's Holdings  Inc.</t>
  </si>
  <si>
    <t>Morgan Stanley Bank of America Merrill Lynch Trust 2014-C18</t>
  </si>
  <si>
    <t>Moms Online  Inc.</t>
  </si>
  <si>
    <t>Citigroup Commercial Mortgage Trust 2014-GC25</t>
  </si>
  <si>
    <t>Shake Shack Inc.</t>
  </si>
  <si>
    <t>Propel Media  Inc.</t>
  </si>
  <si>
    <t>Journal Media Group  Inc.</t>
  </si>
  <si>
    <t>Navient Student Loan Trust 2014-8</t>
  </si>
  <si>
    <t>Atlas Energy Group  LLC</t>
  </si>
  <si>
    <t>Morgan Stanley Bank of America Merrill Lynch Trust 2014-C19</t>
  </si>
  <si>
    <t>TriMax Consulting  Inc.</t>
  </si>
  <si>
    <t>XBiotech Inc.</t>
  </si>
  <si>
    <t>California Republic Auto Receivables Trust 2014-4</t>
  </si>
  <si>
    <t>Fogo de Chao  Inc.</t>
  </si>
  <si>
    <t>Morgan Stanley Bank of America Merrill Lynch Trust 2015-C20</t>
  </si>
  <si>
    <t>Citigroup Commercial Mortgage Trust 2015-GC27</t>
  </si>
  <si>
    <t>GREY CLOAK TECH INC.</t>
  </si>
  <si>
    <t>Morgan Stanley Bank of America Merrill Lynch Trust 2015-C21</t>
  </si>
  <si>
    <t>Wave Life Sciences Ltd.</t>
  </si>
  <si>
    <t>Navient Student Loan Trust 2015-1</t>
  </si>
  <si>
    <t>California Republic Auto Receivables Trust 2015-1</t>
  </si>
  <si>
    <t>OGL Holdings Ltd.</t>
  </si>
  <si>
    <t>Cincinnati Bancorp</t>
  </si>
  <si>
    <t>Navient Student Loan Trust 2015-2</t>
  </si>
  <si>
    <t>Morgan Stanley Bank of America Merrill Lynch Trust 2015-C22</t>
  </si>
  <si>
    <t>Citigroup Commercial Mortgage Trust 2015-GC29</t>
  </si>
  <si>
    <t>Hubilu Venture Corp</t>
  </si>
  <si>
    <t>LM FUNDING AMERICA  INC.</t>
  </si>
  <si>
    <t>Morgan Stanley Capital I Trust 2015-MS1</t>
  </si>
  <si>
    <t>Easterly Acquisition Corp.</t>
  </si>
  <si>
    <t>Navient Student Loan Trust 2015-3</t>
  </si>
  <si>
    <t>Reign Sapphire Corp</t>
  </si>
  <si>
    <t>Morgan Stanley Bank of America Merrill Lynch Trust 2015-C23</t>
  </si>
  <si>
    <t>California Republic Auto Receivables Trust 2015-2</t>
  </si>
  <si>
    <t>Sleepaid Holding Co.</t>
  </si>
  <si>
    <t>Citigroup Commercial Mortgage Trust 2015-GC31</t>
  </si>
  <si>
    <t>GCP Applied Technologies Inc.</t>
  </si>
  <si>
    <t>New Bancorp  Inc.</t>
  </si>
  <si>
    <t>NorthStar Realty Europe Corp.</t>
  </si>
  <si>
    <t>USAA Auto Owner Trust 2015-1</t>
  </si>
  <si>
    <t>Morgan Stanley Bank of America Merrill Lynch Trust 2015-C24</t>
  </si>
  <si>
    <t>Double Eagle Acquisition Corp.</t>
  </si>
  <si>
    <t>Global Boatworks Holdings  Inc.</t>
  </si>
  <si>
    <t>Citigroup Commercial Mortgage Trust 2015-P1</t>
  </si>
  <si>
    <t>Editas Medicine  Inc.</t>
  </si>
  <si>
    <t>Manitowoc Foodservice  Inc.</t>
  </si>
  <si>
    <t>BeiGene  Ltd.</t>
  </si>
  <si>
    <t>Citigroup Commercial Mortgage Trust 2015-GC33</t>
  </si>
  <si>
    <t>Central Federal Bancshares  Inc</t>
  </si>
  <si>
    <t>Wadena Corp.</t>
  </si>
  <si>
    <t>Morgan Stanley Bank of America Merrill Lynch Trust 2015-C26</t>
  </si>
  <si>
    <t>Morgan Stanley Bank of America Merrill Lynch Trust 2015-C27</t>
  </si>
  <si>
    <t>Citigroup Commercial Mortgage Trust 2015-GC35</t>
  </si>
  <si>
    <t>Morgan Stanley Capital I Trust 2015-UBS8</t>
  </si>
  <si>
    <t>Chase Card Funding LLC</t>
  </si>
  <si>
    <t>GENESCO INC</t>
  </si>
  <si>
    <t>INNOVATIVE FOOD HOLDINGS INC</t>
  </si>
  <si>
    <t>SADDLEBROOK RESORTS INC</t>
  </si>
  <si>
    <t>MESA ROYALTY TRUST/TX</t>
  </si>
  <si>
    <t>ECHELON CORP</t>
  </si>
  <si>
    <t>TOMI Environmental Solutions  Inc.</t>
  </si>
  <si>
    <t>PROVECTUS BIOPHARMACEUTICALS  INC.</t>
  </si>
  <si>
    <t>SOUTHWEST GEORGIA FINANCIAL CORP</t>
  </si>
  <si>
    <t>FIELDPOINT PETROLEUM CORP</t>
  </si>
  <si>
    <t>ABEONA THERAPEUTICS INC.</t>
  </si>
  <si>
    <t>SECURITY NATIONAL FINANCIAL CORP</t>
  </si>
  <si>
    <t>Enservco Corp</t>
  </si>
  <si>
    <t>TELOS CORP</t>
  </si>
  <si>
    <t>RELIABILITY INC</t>
  </si>
  <si>
    <t>OCEAN BIO CHEM INC</t>
  </si>
  <si>
    <t>MIDWEST HOLDING INC.</t>
  </si>
  <si>
    <t>MACKINAC FINANCIAL CORP /MI/</t>
  </si>
  <si>
    <t>1st FRANKLIN FINANCIAL CORP</t>
  </si>
  <si>
    <t>KATY INDUSTRIES INC</t>
  </si>
  <si>
    <t>MECHANICAL TECHNOLOGY INC</t>
  </si>
  <si>
    <t>SIEBERT FINANCIAL CORP</t>
  </si>
  <si>
    <t>MINES MANAGEMENT INC</t>
  </si>
  <si>
    <t>STAGE STORES INC</t>
  </si>
  <si>
    <t>DGSE COMPANIES INC</t>
  </si>
  <si>
    <t>PAR TECHNOLOGY CORP</t>
  </si>
  <si>
    <t>SORL Auto Parts Inc</t>
  </si>
  <si>
    <t>FIRST NATIONAL CORP /VA/</t>
  </si>
  <si>
    <t>Inrad Optics  Inc.</t>
  </si>
  <si>
    <t>SPECTRASCIENCE INC</t>
  </si>
  <si>
    <t>Midwest Energy Emissions Corp.</t>
  </si>
  <si>
    <t>TRANSCONTINENTAL REALTY INVESTORS INC</t>
  </si>
  <si>
    <t>ALCO  INC.</t>
  </si>
  <si>
    <t>Marina Biotech  Inc.</t>
  </si>
  <si>
    <t>F&amp;M BANK CORP</t>
  </si>
  <si>
    <t>HOOPER HOLMES INC</t>
  </si>
  <si>
    <t>AMERICAN SHARED HOSPITAL SERVICES</t>
  </si>
  <si>
    <t>Global Clean Energy Holdings  Inc.</t>
  </si>
  <si>
    <t>Celsion CORP</t>
  </si>
  <si>
    <t>P&amp;F INDUSTRIES INC</t>
  </si>
  <si>
    <t>QUALSTAR CORP</t>
  </si>
  <si>
    <t>CAS MEDICAL SYSTEMS INC</t>
  </si>
  <si>
    <t>CVD EQUIPMENT CORP</t>
  </si>
  <si>
    <t>DOCUMENT SECURITY SYSTEMS INC</t>
  </si>
  <si>
    <t>ROYAL HAWAIIAN ORCHARDS  L.P.</t>
  </si>
  <si>
    <t>BLUE DOLPHIN ENERGY CO</t>
  </si>
  <si>
    <t>Macy's  Inc.</t>
  </si>
  <si>
    <t>ODYSSEY MARINE EXPLORATION INC</t>
  </si>
  <si>
    <t>China Senior Living Industry International Holding Corp</t>
  </si>
  <si>
    <t>RIDGEFIELD ACQUISITION CORP</t>
  </si>
  <si>
    <t>CITIZENS BANCSHARES CORP /GA/</t>
  </si>
  <si>
    <t>Halo Companies  Inc.</t>
  </si>
  <si>
    <t xml:space="preserve">Cleantech Solutions International  Inc. </t>
  </si>
  <si>
    <t>ImmunoCellular Therapeutics  Ltd.</t>
  </si>
  <si>
    <t>TETRIDYN SOLUTIONS INC</t>
  </si>
  <si>
    <t>Applied Minerals  Inc.</t>
  </si>
  <si>
    <t>YOU ON DEMAND HOLDINGS  INC.</t>
  </si>
  <si>
    <t>EVEREST FUND L P</t>
  </si>
  <si>
    <t>VASOMEDICAL  INC</t>
  </si>
  <si>
    <t>BAY BANCORP  INC.</t>
  </si>
  <si>
    <t>SYPRIS SOLUTIONS INC</t>
  </si>
  <si>
    <t>EQUUS TOTAL RETURN  INC.</t>
  </si>
  <si>
    <t>SCOTTS LIQUID GOLD INC</t>
  </si>
  <si>
    <t>BIOLARGO  INC.</t>
  </si>
  <si>
    <t>ACORN ENERGY  INC.</t>
  </si>
  <si>
    <t>ASURE SOFTWARE INC</t>
  </si>
  <si>
    <t>BUCKLE INC</t>
  </si>
  <si>
    <t>Capstone Therapeutics Corp.</t>
  </si>
  <si>
    <t>NOCOPI TECHNOLOGIES INC/MD/</t>
  </si>
  <si>
    <t>PEN INC.</t>
  </si>
  <si>
    <t>FULL HOUSE RESORTS INC</t>
  </si>
  <si>
    <t>HAWTHORN BANCSHARES  INC.</t>
  </si>
  <si>
    <t>INTEGRATED SURGICAL SYSTEMS INC</t>
  </si>
  <si>
    <t>SUPERCONDUCTOR TECHNOLOGIES INC</t>
  </si>
  <si>
    <t>DIGITAL POWER CORP</t>
  </si>
  <si>
    <t>AMERICAN BIO MEDICA CORP</t>
  </si>
  <si>
    <t>ATRM Holdings  Inc.</t>
  </si>
  <si>
    <t>TANDY LEATHER FACTORY INC</t>
  </si>
  <si>
    <t>CADUS CORP</t>
  </si>
  <si>
    <t>SPECIAL DIVERSIFIED OPPORTUNITIES INC.</t>
  </si>
  <si>
    <t>PARKERVISION INC</t>
  </si>
  <si>
    <t>CASTLE GROUP INC</t>
  </si>
  <si>
    <t>AmpliPhi Biosciences Corp</t>
  </si>
  <si>
    <t>CITIBANK CREDIT CARD MASTER TRUST I</t>
  </si>
  <si>
    <t>CTD HOLDINGS INC</t>
  </si>
  <si>
    <t>VERMILLION  INC.</t>
  </si>
  <si>
    <t>CANTERBURY PARK HOLDING CORP</t>
  </si>
  <si>
    <t>ALL AMERICAN SPORTPARK INC</t>
  </si>
  <si>
    <t>AMERICAN CHURCH MORTGAGE CO</t>
  </si>
  <si>
    <t>GOODRICH PETROLEUM CORP</t>
  </si>
  <si>
    <t>MINISTRY PARTNERS INVESTMENT COMPANY  LLC</t>
  </si>
  <si>
    <t>CICERO INC</t>
  </si>
  <si>
    <t>ASTEA INTERNATIONAL INC</t>
  </si>
  <si>
    <t>RETRACTABLE TECHNOLOGIES INC</t>
  </si>
  <si>
    <t>BIRNER DENTAL MANAGEMENT SERVICES INC</t>
  </si>
  <si>
    <t>Immudyne  Inc.</t>
  </si>
  <si>
    <t>CLEAN DIESEL TECHNOLOGIES INC</t>
  </si>
  <si>
    <t>INCOME OPPORTUNITY REALTY INVESTORS INC /TX/</t>
  </si>
  <si>
    <t>SYNALLOY CORP</t>
  </si>
  <si>
    <t>TEL OFFSHORE TRUST</t>
  </si>
  <si>
    <t>VANTAGE DRILLING INTERNATIONAL</t>
  </si>
  <si>
    <t>Wilhelmina International  Inc.</t>
  </si>
  <si>
    <t>FIRST SOUTH BANCORP INC /VA/</t>
  </si>
  <si>
    <t>INTEST CORP</t>
  </si>
  <si>
    <t>Diadexus  Inc.</t>
  </si>
  <si>
    <t>FOUR OAKS FINCORP INC</t>
  </si>
  <si>
    <t>CymaBay Therapeutics  Inc.</t>
  </si>
  <si>
    <t>CAMPBELL FUND TRUST</t>
  </si>
  <si>
    <t>MAN AHL DIVERSIFIED I LP</t>
  </si>
  <si>
    <t>Spine Injury Solutions  Inc</t>
  </si>
  <si>
    <t>FIRST CAPITAL INC</t>
  </si>
  <si>
    <t>Pernix Group  Inc.</t>
  </si>
  <si>
    <t>KINGOLD JEWELRY  INC.</t>
  </si>
  <si>
    <t>TJX COMPANIES INC /DE/</t>
  </si>
  <si>
    <t>Zivo Bioscience  Inc.</t>
  </si>
  <si>
    <t>Deep Down  Inc.</t>
  </si>
  <si>
    <t>METABOLIX  INC.</t>
  </si>
  <si>
    <t>Cyclacel Pharmaceuticals  Inc.</t>
  </si>
  <si>
    <t>SPECTRAL CAPITAL Corp</t>
  </si>
  <si>
    <t>Illinois Power Generating Co</t>
  </si>
  <si>
    <t>EPIRUS Biopharmaceuticals  Inc.</t>
  </si>
  <si>
    <t>PEDEVCO CORP</t>
  </si>
  <si>
    <t>First National Energy Corp.</t>
  </si>
  <si>
    <t>GLOBAL MACRO TRUST</t>
  </si>
  <si>
    <t>CAPITAL ONE MULTI ASSET EXECUTION TRUST</t>
  </si>
  <si>
    <t>SYNIVERSE HOLDINGS INC</t>
  </si>
  <si>
    <t>TRIPLE-S MANAGEMENT CORP</t>
  </si>
  <si>
    <t>My Size  Inc.</t>
  </si>
  <si>
    <t>CONNS INC</t>
  </si>
  <si>
    <t>Vican Resources  Inc.</t>
  </si>
  <si>
    <t>SPHERIX INC</t>
  </si>
  <si>
    <t>LUNA INNOVATIONS INC</t>
  </si>
  <si>
    <t>T Bancshares  Inc.</t>
  </si>
  <si>
    <t>Hill International  Inc.</t>
  </si>
  <si>
    <t>GOOGLE INC.</t>
  </si>
  <si>
    <t>GE Dealer Floorplan Master Note Trust</t>
  </si>
  <si>
    <t>CDF Funding  Inc.</t>
  </si>
  <si>
    <t>GameStop Corp.</t>
  </si>
  <si>
    <t>NephroGenex  Inc.</t>
  </si>
  <si>
    <t>MANAGED FUTURES PREMIER WARRINGTON L.P.</t>
  </si>
  <si>
    <t>SBT Bancorp  Inc.</t>
  </si>
  <si>
    <t>Highpower International  Inc.</t>
  </si>
  <si>
    <t>GTJ REIT  Inc.</t>
  </si>
  <si>
    <t>BTHC X INC</t>
  </si>
  <si>
    <t>UV FLU TECHNOLOGIES INC</t>
  </si>
  <si>
    <t>KKR Financial Holdings LLC</t>
  </si>
  <si>
    <t>QUAINT OAK BANCORP INC</t>
  </si>
  <si>
    <t>WATCHTOWER  INC.</t>
  </si>
  <si>
    <t>Resource Real Estate Investors 6 LP</t>
  </si>
  <si>
    <t>RARE ELEMENT RESOURCES LTD</t>
  </si>
  <si>
    <t>Polaris Futures Fund L.P.</t>
  </si>
  <si>
    <t>CROSSROADS CAPITAL  INC.</t>
  </si>
  <si>
    <t>Terra Tech Corp.</t>
  </si>
  <si>
    <t>CALERES INC</t>
  </si>
  <si>
    <t>Ally Auto Assets LLC</t>
  </si>
  <si>
    <t>Resource Real Estate Investors 7  L.P.</t>
  </si>
  <si>
    <t>Innovative Product Opportunities Inc.</t>
  </si>
  <si>
    <t>Vera Bradley  Inc.</t>
  </si>
  <si>
    <t>CNL Healthcare Properties  Inc.</t>
  </si>
  <si>
    <t>COLE REAL ESTATE INCOME STRATEGY (DAILY NAV)  INC.</t>
  </si>
  <si>
    <t>Sunshine Financial Inc</t>
  </si>
  <si>
    <t>Alta Mesa Holdings  LP</t>
  </si>
  <si>
    <t>Dave &amp; Buster's Entertainment  Inc.</t>
  </si>
  <si>
    <t>VANJIA CORP</t>
  </si>
  <si>
    <t>Georgetown Bancorp  Inc.</t>
  </si>
  <si>
    <t>Ally Auto Receivables Trust 2012-3</t>
  </si>
  <si>
    <t>UBS-Barclays Commercial Mortgage Trust 2012-C2</t>
  </si>
  <si>
    <t>WisdomTree Coal Fund</t>
  </si>
  <si>
    <t>COMM 2012-CCRE2 Mortgage Trust</t>
  </si>
  <si>
    <t>Ally Auto Receivables Trust 2012-4</t>
  </si>
  <si>
    <t>Huntington Auto Trust 2012-2</t>
  </si>
  <si>
    <t>COMM 2012-CCRE4 Mortgage Trust</t>
  </si>
  <si>
    <t>UBS-Barclays Commercial Mortgage Trust 2012-C4</t>
  </si>
  <si>
    <t>Ally Auto Receivables Trust 2012-5</t>
  </si>
  <si>
    <t>COMM 2012-CCRE5 Mortgage Trust</t>
  </si>
  <si>
    <t>SOPHIRIS BIO INC.</t>
  </si>
  <si>
    <t>AXIOM CORP.</t>
  </si>
  <si>
    <t>Capital Auto Receivables Asset Trust 2013-1</t>
  </si>
  <si>
    <t>MORGAN STANLEY BANK OF AMERICA MERRILL LYNCH TRUST 2013-C8</t>
  </si>
  <si>
    <t>NRG Yield  Inc.</t>
  </si>
  <si>
    <t>PetroShare Corp.</t>
  </si>
  <si>
    <t>Science Applications International Corp</t>
  </si>
  <si>
    <t>Asterias Biotherapeutics  Inc.</t>
  </si>
  <si>
    <t>Cole Office &amp; Industrial REIT (CCIT II)  Inc.</t>
  </si>
  <si>
    <t>Ally Auto Receivables Trust 2013-1</t>
  </si>
  <si>
    <t>TE Funding LLC</t>
  </si>
  <si>
    <t>CEI Funding LLC</t>
  </si>
  <si>
    <t>OE Funding LLC</t>
  </si>
  <si>
    <t>World Point Terminals  LP</t>
  </si>
  <si>
    <t>Strategic Storage Growth Trust  Inc.</t>
  </si>
  <si>
    <t>FirstEnergy Ohio PIRB Special Purpose Trust 2013</t>
  </si>
  <si>
    <t>Capital Auto Receivables Asset Trust 2013-2</t>
  </si>
  <si>
    <t>COMM 2013-CCRE10 Mortgage Trust</t>
  </si>
  <si>
    <t>Mercedes-Benz Auto Receivables Trust 2013-1</t>
  </si>
  <si>
    <t>Capital Auto Receivables Asset Trust 2013-3</t>
  </si>
  <si>
    <t>Edgewater Bancorp  Inc.</t>
  </si>
  <si>
    <t>Steadfast Apartment REIT  Inc.</t>
  </si>
  <si>
    <t>Strategic Storage Trust II  Inc.</t>
  </si>
  <si>
    <t>Jaguar Animal Health  Inc.</t>
  </si>
  <si>
    <t>Zosano Pharma Corp</t>
  </si>
  <si>
    <t>COMM 2013-CCRE12 Mortgage Trust</t>
  </si>
  <si>
    <t>Ally Auto Receivables Trust 2013-2</t>
  </si>
  <si>
    <t>BIOHITECH GLOBAL  INC.</t>
  </si>
  <si>
    <t>FOCUS UNIVERSAL INC.</t>
  </si>
  <si>
    <t>Capital Auto Receivables Asset Trust 2013-4</t>
  </si>
  <si>
    <t>Inland Residential Properties Trust  Inc.</t>
  </si>
  <si>
    <t>Capital Auto Receivables Asset Trust 2014-1</t>
  </si>
  <si>
    <t>JRSIS HEALTH CARE Corp</t>
  </si>
  <si>
    <t>Ally Auto Receivables Trust 2014-SN1</t>
  </si>
  <si>
    <t>Mercedes-Benz Auto Lease Trust 2014-A</t>
  </si>
  <si>
    <t>Capital Auto Receivables Asset Trust 2014-2</t>
  </si>
  <si>
    <t>Alpine 4 Technologies Ltd.</t>
  </si>
  <si>
    <t>Pathfinder Bancorp  Inc.</t>
  </si>
  <si>
    <t>Ally Auto Receivables Trust 2014-1</t>
  </si>
  <si>
    <t>Mercedes-Benz Auto Receivables Trust 2014-1</t>
  </si>
  <si>
    <t>SIGULER GUFF SMALL BUSINESS CREDIT OPPORTUNITIES FUND  INC</t>
  </si>
  <si>
    <t>Great Ajax Corp.</t>
  </si>
  <si>
    <t>Avenue Financial Holdings  Inc.</t>
  </si>
  <si>
    <t>MB Bancorp Inc</t>
  </si>
  <si>
    <t>Capital Auto Receivables Asset Trust 2014-3</t>
  </si>
  <si>
    <t>Neothetics  Inc.</t>
  </si>
  <si>
    <t>SteadyMed Ltd.</t>
  </si>
  <si>
    <t>Ally Auto Receivables Trust 2014-2</t>
  </si>
  <si>
    <t>CNH Equipment Trust 2014-C</t>
  </si>
  <si>
    <t>Ally Auto Receivables Trust 2014-SN2</t>
  </si>
  <si>
    <t>Computron  Inc.</t>
  </si>
  <si>
    <t>Parkview Capital Credit  Inc.</t>
  </si>
  <si>
    <t>Ally Auto Receivables Trust 2014-3</t>
  </si>
  <si>
    <t>Global Blood Therapeutics  Inc.</t>
  </si>
  <si>
    <t>Mercedes-Benz Auto Lease Trust 2015-A</t>
  </si>
  <si>
    <t>Capital Auto Receivables Asset Trust 2015-1</t>
  </si>
  <si>
    <t>Ally Auto Receivables Trust 2015-SN1</t>
  </si>
  <si>
    <t>Amplify Snack Brands  INC</t>
  </si>
  <si>
    <t>Capital Auto Receivables Asset Trust 2015-2</t>
  </si>
  <si>
    <t>MVP REIT II  Inc.</t>
  </si>
  <si>
    <t>Huntington Auto Trust 2015-1</t>
  </si>
  <si>
    <t>COMM 2015-CCRE24 Mortgage Trust</t>
  </si>
  <si>
    <t>Mercedes-Benz Auto Receivables Trust 2015-1</t>
  </si>
  <si>
    <t>Ally Auto Receivables Trust 2015-1</t>
  </si>
  <si>
    <t>Capital Auto Receivables Asset Trust 2015-3</t>
  </si>
  <si>
    <t>CNH Equipment Trust 2015-C</t>
  </si>
  <si>
    <t>COMM 2015-CCRE26 Mortgage Trust</t>
  </si>
  <si>
    <t>Alphabet Inc.</t>
  </si>
  <si>
    <t>Ally Auto Receivables Trust 2015-2</t>
  </si>
  <si>
    <t>Mercedes-Benz Auto Lease Trust 2015-B</t>
  </si>
  <si>
    <t>Capital Auto Receivables Asset Trust 2015-4</t>
  </si>
  <si>
    <t>AMBASE CORP</t>
  </si>
  <si>
    <t>CLEVELAND ELECTRIC ILLUMINATING CO</t>
  </si>
  <si>
    <t>CREDITRISKMONITOR COM INC</t>
  </si>
  <si>
    <t>TOLEDO EDISON CO</t>
  </si>
  <si>
    <t>ID SYSTEMS INC</t>
  </si>
  <si>
    <t>KROGER CO</t>
  </si>
  <si>
    <t>LOWES COMPANIES INC</t>
  </si>
  <si>
    <t>LGL GROUP INC</t>
  </si>
  <si>
    <t>ANDREA ELECTRONICS CORP</t>
  </si>
  <si>
    <t>CHINA RECYCLING ENERGY CORP</t>
  </si>
  <si>
    <t>INTRUSION INC</t>
  </si>
  <si>
    <t>AEMETIS  INC</t>
  </si>
  <si>
    <t>OHIO EDISON CO</t>
  </si>
  <si>
    <t>ROSS STORES INC</t>
  </si>
  <si>
    <t>BIG LOTS INC</t>
  </si>
  <si>
    <t>OGLETHORPE POWER CORP</t>
  </si>
  <si>
    <t>INFORMATION ANALYSIS INC</t>
  </si>
  <si>
    <t>EMISPHERE TECHNOLOGIES INC</t>
  </si>
  <si>
    <t>ATLANTIC AMERICAN CORP</t>
  </si>
  <si>
    <t>G III APPAREL GROUP LTD /DE/</t>
  </si>
  <si>
    <t>RAVEN INDUSTRIES INC</t>
  </si>
  <si>
    <t>HARVEST NATURAL RESOURCES  INC.</t>
  </si>
  <si>
    <t>RespireRx Pharmaceuticals Inc.</t>
  </si>
  <si>
    <t>ProPhase Labs  Inc.</t>
  </si>
  <si>
    <t>WIRELESS TELECOM GROUP INC</t>
  </si>
  <si>
    <t>EAGLE FINANCIAL SERVICES INC</t>
  </si>
  <si>
    <t>NANOPHASE TECHNOLOGIES Corp</t>
  </si>
  <si>
    <t>SANDSTON CORP</t>
  </si>
  <si>
    <t>CAPITAL AUTO RECEIVABLES LLC</t>
  </si>
  <si>
    <t>COGENTIX MEDICAL INC /DE/</t>
  </si>
  <si>
    <t>CAMPBELL STRATEGIC ALLOCATION FUND LP</t>
  </si>
  <si>
    <t>SMITHFIELD FOODS INC</t>
  </si>
  <si>
    <t>DISCOVERY LABORATORIES INC /DE/</t>
  </si>
  <si>
    <t>HEMISPHERX BIOPHARMA INC</t>
  </si>
  <si>
    <t>TRANS LUX Corp</t>
  </si>
  <si>
    <t>BROADWAY FINANCIAL CORP \DE\</t>
  </si>
  <si>
    <t>AMERICREDIT FINANCIAL SERVICES INC</t>
  </si>
  <si>
    <t>AMERICAN EXPRESS CREDIT ACCOUNT MASTER TRUST</t>
  </si>
  <si>
    <t>RenovaCare  Inc.</t>
  </si>
  <si>
    <t>HIBBETT SPORTS INC</t>
  </si>
  <si>
    <t>ABERCROMBIE &amp; FITCH CO /DE/</t>
  </si>
  <si>
    <t>GRANDPARENTS.COM  INC.</t>
  </si>
  <si>
    <t>ON TRACK INNOVATIONS LTD</t>
  </si>
  <si>
    <t>RJO GLOBAL TRUST</t>
  </si>
  <si>
    <t>HILLMAN COMPANIES INC</t>
  </si>
  <si>
    <t>NEW JERSEY MINING CO</t>
  </si>
  <si>
    <t>BAY BANKS OF VIRGINIA INC</t>
  </si>
  <si>
    <t>WESTPORT FUTURES FUND L.P.</t>
  </si>
  <si>
    <t>Helios &amp; Matheson Analytics Inc.</t>
  </si>
  <si>
    <t>POTOMAC FUTURES FUND LP</t>
  </si>
  <si>
    <t>MANAGED FUTURES PREMIER ENERGY FUND L.P.</t>
  </si>
  <si>
    <t>AMERINST INSURANCE GROUP LTD</t>
  </si>
  <si>
    <t>MANAGED FUTURES PREMIER GRAHAM L.P.</t>
  </si>
  <si>
    <t>MORGAN STANLEY SMITH BARNEY CHARTER WNT L.P.</t>
  </si>
  <si>
    <t>GLOBAL DIVERSIFIED FUTURES FUND L.P.</t>
  </si>
  <si>
    <t>FUSION TELECOMMUNICATIONS INTERNATIONAL INC</t>
  </si>
  <si>
    <t>INTELLINETICS  INC.</t>
  </si>
  <si>
    <t>ALASKA COMMUNICATIONS SYSTEMS GROUP INC</t>
  </si>
  <si>
    <t>DIVERSIFIED 2000 FUTURES FUND L.P.</t>
  </si>
  <si>
    <t>MORGAN STANLEY SMITH BARNEY SPECTRUM CURRENCY &amp; COMMODITY L.P.</t>
  </si>
  <si>
    <t>EROOMSYSTEM TECHNOLOGIES INC</t>
  </si>
  <si>
    <t>Onconova Therapeutics  Inc.</t>
  </si>
  <si>
    <t>MORGAN STANLEY SMITH BARNEY CHARTER CAMPBELL LP</t>
  </si>
  <si>
    <t>GENESIS FINANCIAL INC</t>
  </si>
  <si>
    <t>TACTICAL DIVERSIFIED FUTURES FUND L.P.</t>
  </si>
  <si>
    <t>FENNEC PHARMACEUTICALS INC.</t>
  </si>
  <si>
    <t>ORION FUTURES FUND LP</t>
  </si>
  <si>
    <t>Managed Futures Premier Energy Fund L.P. II</t>
  </si>
  <si>
    <t>CNL LIFESTYLE PROPERTIES INC</t>
  </si>
  <si>
    <t>HINES REAL ESTATE INVESTMENT TRUST INC</t>
  </si>
  <si>
    <t>EMERGING CTA PORTFOLIO LP</t>
  </si>
  <si>
    <t>AMERICAN EXPRESS RECEIVABLES FINANCING CORP III LLC</t>
  </si>
  <si>
    <t>AMERICAN EXPRESS RECEIVABLES FINANCING CORP IV LLC</t>
  </si>
  <si>
    <t>BlueLinx Holdings Inc.</t>
  </si>
  <si>
    <t>TWO RIVERS WATER &amp; FARMING Co</t>
  </si>
  <si>
    <t>INTERMOLECULAR INC</t>
  </si>
  <si>
    <t>ICON LEASING FUND ELEVEN  LLC</t>
  </si>
  <si>
    <t>MANAGED FUTURES PREMIER AVENTIS II L.P.</t>
  </si>
  <si>
    <t>LIXTE BIOTECHNOLOGY HOLDINGS  INC.</t>
  </si>
  <si>
    <t>Alexza Pharmaceuticals Inc.</t>
  </si>
  <si>
    <t>AFS SenSub Corp.</t>
  </si>
  <si>
    <t>COMMODITY ADVISORS FUND L.P.</t>
  </si>
  <si>
    <t>EnteroMedics Inc</t>
  </si>
  <si>
    <t>Sentio Healthcare Properties Inc</t>
  </si>
  <si>
    <t>TRXADE GROUP  INC.</t>
  </si>
  <si>
    <t>MANAGED FUTURES PREMIER ABINGDON L.P.</t>
  </si>
  <si>
    <t>ACQUIRED SALES CORP</t>
  </si>
  <si>
    <t>Electronic Cigarettes International Group  Ltd.</t>
  </si>
  <si>
    <t>First Guaranty Bancshares  Inc.</t>
  </si>
  <si>
    <t>CleanTech Biofuels  Inc.</t>
  </si>
  <si>
    <t>SMG Indium Resources Ltd.</t>
  </si>
  <si>
    <t>Meritage Futures Fund L.P.</t>
  </si>
  <si>
    <t>LV Futures Fund L.P.</t>
  </si>
  <si>
    <t>InspireMD  Inc.</t>
  </si>
  <si>
    <t>ENB Financial Corp</t>
  </si>
  <si>
    <t>BAKKEN ENERGY CORP.</t>
  </si>
  <si>
    <t>KBS Strategic Opportunity REIT  Inc.</t>
  </si>
  <si>
    <t>Hines Global REIT  Inc.</t>
  </si>
  <si>
    <t>B. Riley Financial  Inc.</t>
  </si>
  <si>
    <t>Nova Lifestyle  Inc.</t>
  </si>
  <si>
    <t>Carter Validus Mission Critical REIT  Inc.</t>
  </si>
  <si>
    <t>NorthStar Healthcare Income  Inc.</t>
  </si>
  <si>
    <t>Managed Futures Premier Macro L.P.</t>
  </si>
  <si>
    <t>ALST Casino Holdco  LLC</t>
  </si>
  <si>
    <t>chatAND  Inc.</t>
  </si>
  <si>
    <t>Americredit Automobile Receivables Trust 2011-5</t>
  </si>
  <si>
    <t>Americredit Automobile Receivables Trust 2012-1</t>
  </si>
  <si>
    <t>Americredit Automobile Receivables Trust 2012-2</t>
  </si>
  <si>
    <t>AmeriCredit Automobile Receivables Trust 2012-3</t>
  </si>
  <si>
    <t>AmeriCredit Automobile Receivables Trust 2012-4</t>
  </si>
  <si>
    <t>Legacy Education Alliance  Inc.</t>
  </si>
  <si>
    <t>AmeriCredit Automobile Receivables Trust 2012-5</t>
  </si>
  <si>
    <t>American Express Issuance Trust II</t>
  </si>
  <si>
    <t>American Express Receivables Financing Corp VIII LLC</t>
  </si>
  <si>
    <t>AmeriCredit Automobile Receivables Trust 2013-1</t>
  </si>
  <si>
    <t>Carter Validus Mission Critical REIT II  Inc.</t>
  </si>
  <si>
    <t>AmeriCredit Automobile Receivables Trust 2013-2</t>
  </si>
  <si>
    <t>Match Group  Inc.</t>
  </si>
  <si>
    <t>Brookfield DTLA Fund Office Trust Investor Inc.</t>
  </si>
  <si>
    <t>GS Mortgage Securities Trust 2013-GC13</t>
  </si>
  <si>
    <t>Americredit Automobile Receivables Trust 2013-3</t>
  </si>
  <si>
    <t>Energy 11  L.P.</t>
  </si>
  <si>
    <t>CATACA RESOURCES  INC.</t>
  </si>
  <si>
    <t>American Realty Capital Hospitality Trust  Inc.</t>
  </si>
  <si>
    <t>AmeriCredit Automobile Receivables Trust 2013-4</t>
  </si>
  <si>
    <t>AmeriCredit Automobile Receivables Trust 2013-5</t>
  </si>
  <si>
    <t>Presbia PLC</t>
  </si>
  <si>
    <t>Corbus Pharmaceuticals Holdings  Inc.</t>
  </si>
  <si>
    <t>ViewRay  Inc.</t>
  </si>
  <si>
    <t>RX Safes  Inc.</t>
  </si>
  <si>
    <t>AmeriCredit Automobile Receivables Trust 2014-1</t>
  </si>
  <si>
    <t>Commerce Union Bancshares  Inc.</t>
  </si>
  <si>
    <t>AmeriCredit Automobile Receivables Trust 2014-2</t>
  </si>
  <si>
    <t>Lockbox Link  Inc.</t>
  </si>
  <si>
    <t>AmeriCredit Automobile Receivables Trust 2014-3</t>
  </si>
  <si>
    <t>Carey Credit Income Fund - I</t>
  </si>
  <si>
    <t>Quinpario Acquisition Corp. 2</t>
  </si>
  <si>
    <t>Aqua Metals  Inc.</t>
  </si>
  <si>
    <t>GS Mortgage Securities Trust 2014-GC26</t>
  </si>
  <si>
    <t>AmeriCredit Automobile Receivables Trust 2014-4</t>
  </si>
  <si>
    <t>AmeriCredit Automobile Receivables Trust 2015-1</t>
  </si>
  <si>
    <t>GMF Leasing LLC</t>
  </si>
  <si>
    <t>GP Investments Acquisition Corp.</t>
  </si>
  <si>
    <t>GM Financial Automobile Leasing Trust 2015-1</t>
  </si>
  <si>
    <t>AmeriCredit Automobile Receivables Trust 2015-2</t>
  </si>
  <si>
    <t>JM Global Holding Co</t>
  </si>
  <si>
    <t>River Financial Corp</t>
  </si>
  <si>
    <t>GM Financial Automobile Leasing Trust 2015-2</t>
  </si>
  <si>
    <t>AmeriCredit Automobile Receivables Trust 2015-3</t>
  </si>
  <si>
    <t>GM Financial Automobile Leasing Trust 2015-3</t>
  </si>
  <si>
    <t>AmeriCredit Automobile Receivables Trust 2015-4</t>
  </si>
  <si>
    <t>DATA I/O CORP</t>
  </si>
  <si>
    <t>MINN SHARES INC</t>
  </si>
  <si>
    <t>RANCON REALTY FUND IV</t>
  </si>
  <si>
    <t>ORIGINAL SIXTEEN TO ONE MINE INC /CA/</t>
  </si>
  <si>
    <t>OXFORD INDUSTRIES INC</t>
  </si>
  <si>
    <t>Berry Petroleum Company  LLC</t>
  </si>
  <si>
    <t>CHOICEONE FINANCIAL SERVICES INC</t>
  </si>
  <si>
    <t>Carbon Natural Gas Co</t>
  </si>
  <si>
    <t>MORGAN STANLEY SMITH BARNEY SPECTRUM SELECT LP</t>
  </si>
  <si>
    <t>LAPOLLA INDUSTRIES INC</t>
  </si>
  <si>
    <t>Quadrant 4 System Corp</t>
  </si>
  <si>
    <t>CPI AEROSTRUCTURES INC</t>
  </si>
  <si>
    <t>CASI Pharmaceuticals  Inc.</t>
  </si>
  <si>
    <t>MORGAN STANLEY SMITH BARNEY CHARTER ASPECT L.P.</t>
  </si>
  <si>
    <t>SMITH MIDLAND CORP</t>
  </si>
  <si>
    <t>MORGAN STANLEY SMITH BARNEY SPECTRUM STRATEGIC LP</t>
  </si>
  <si>
    <t>MORGAN STANLEY SMITH BARNEY SPECTRUM TECHNICAL LP</t>
  </si>
  <si>
    <t>DOLLAR TREE INC</t>
  </si>
  <si>
    <t>Ever-Glory International Group  Inc.</t>
  </si>
  <si>
    <t>Capital Financial Holdings  Inc</t>
  </si>
  <si>
    <t>AMERICAN EXPRESS RECEIVABLES FINANCING CORP II</t>
  </si>
  <si>
    <t>TIFFANY &amp; CO</t>
  </si>
  <si>
    <t>UNICO AMERICAN CORP</t>
  </si>
  <si>
    <t>COMMERCIAL BANCSHARES INC \OH\</t>
  </si>
  <si>
    <t>Intellicheck Mobilisa  Inc.</t>
  </si>
  <si>
    <t>DISH DBS CORP</t>
  </si>
  <si>
    <t>GUARANTY FEDERAL BANCSHARES INC</t>
  </si>
  <si>
    <t>Diffusion Pharmaceuticals Inc.</t>
  </si>
  <si>
    <t>THEGLOBE COM INC</t>
  </si>
  <si>
    <t>SOUTHCOAST FINANCIAL CORP</t>
  </si>
  <si>
    <t>DICKS SPORTING GOODS INC</t>
  </si>
  <si>
    <t>BA Credit Card Trust</t>
  </si>
  <si>
    <t>TURBINE TRUCK ENGINES INC</t>
  </si>
  <si>
    <t>HAMPTON ROADS BANKSHARES INC</t>
  </si>
  <si>
    <t>PAPERWEIGHT DEVELOPMENT CORP</t>
  </si>
  <si>
    <t>HTG MOLECULAR DIAGNOSTICS  INC</t>
  </si>
  <si>
    <t>CEF EQUIPMENT HOLDING LLC</t>
  </si>
  <si>
    <t>SCIENTIFIC ENERGY INC</t>
  </si>
  <si>
    <t>AMBARELLA INC</t>
  </si>
  <si>
    <t>MRI INTERVENTIONS  INC.</t>
  </si>
  <si>
    <t>OptimumBank Holdings  Inc.</t>
  </si>
  <si>
    <t>Sotherly Hotels Inc.</t>
  </si>
  <si>
    <t>VirtualScopics  Inc.</t>
  </si>
  <si>
    <t>Independence Bancshares  Inc.</t>
  </si>
  <si>
    <t>SOTHERLY HOTELS LP</t>
  </si>
  <si>
    <t>CIFC Corp.</t>
  </si>
  <si>
    <t>LAKE SHORE BANCORP  INC.</t>
  </si>
  <si>
    <t>Advanced Voice Recognition Systems  Inc</t>
  </si>
  <si>
    <t>TWO RIVER BANCORP</t>
  </si>
  <si>
    <t>Congaree Bancshares Inc</t>
  </si>
  <si>
    <t>Porter Bancorp  Inc.</t>
  </si>
  <si>
    <t>FINJAN HOLDINGS  INC.</t>
  </si>
  <si>
    <t>WaferGen Bio-systems  Inc.</t>
  </si>
  <si>
    <t>Rockies Region 2006 Limited Partnership</t>
  </si>
  <si>
    <t>FIRST PRIORITY FINANCIAL CORP.</t>
  </si>
  <si>
    <t>Lightning Gaming  Inc.</t>
  </si>
  <si>
    <t>Invuity  Inc.</t>
  </si>
  <si>
    <t>Ambient Water Corp</t>
  </si>
  <si>
    <t>DJO Finance LLC</t>
  </si>
  <si>
    <t>Francesca's Holdings CORP</t>
  </si>
  <si>
    <t>Sunshine Biopharma  Inc</t>
  </si>
  <si>
    <t>ROCKIES REGION 2007 LP</t>
  </si>
  <si>
    <t>Kennedy-Wilson Holdings  Inc.</t>
  </si>
  <si>
    <t>Mastech Holdings  Inc.</t>
  </si>
  <si>
    <t>Pure Storage  Inc.</t>
  </si>
  <si>
    <t>Capnia  Inc.</t>
  </si>
  <si>
    <t>Eleven Biotherapeutics  Inc.</t>
  </si>
  <si>
    <t>InnoVision Labs  Inc</t>
  </si>
  <si>
    <t>Rhino Resource Partners LP</t>
  </si>
  <si>
    <t>ICON ECI FUND FIFTEEN  L.P.</t>
  </si>
  <si>
    <t>FS Investment Corp II</t>
  </si>
  <si>
    <t>Wellesley Bancorp  Inc.</t>
  </si>
  <si>
    <t>GS Mortgage Securities Trust 2011-GC5</t>
  </si>
  <si>
    <t>FS Bancorp  Inc.</t>
  </si>
  <si>
    <t>SYMBID CORP.</t>
  </si>
  <si>
    <t>CFCRE Commercial Mortgage Trust 2011-C2</t>
  </si>
  <si>
    <t>World Omni Auto Receivables Trust 2012-A</t>
  </si>
  <si>
    <t>GE Equipment Midticket LLC  Series 2012-1</t>
  </si>
  <si>
    <t>World Omni Auto Receivables Trust 2012-B</t>
  </si>
  <si>
    <t>GS Mortgage Securities Trust 2012-GCJ9</t>
  </si>
  <si>
    <t>WFRBS Commercial Mortgage Trust 2012-C10</t>
  </si>
  <si>
    <t>WFRBS Commercial Mortgage Trust 2013-C14</t>
  </si>
  <si>
    <t>World Omni Auto Receivables Trust 2013-A</t>
  </si>
  <si>
    <t>Resonant Inc</t>
  </si>
  <si>
    <t>World Omni Automobile Lease Securitization Trust 2013-A</t>
  </si>
  <si>
    <t>GE Equipment Midticket LLC  Series 2013-1</t>
  </si>
  <si>
    <t>GS Mortgage Securities Trust 2013-GCJ16</t>
  </si>
  <si>
    <t>WFRBS Commercial Mortgage Trust 2013-C17</t>
  </si>
  <si>
    <t>World Omni Auto Receivables Trust 2013-B</t>
  </si>
  <si>
    <t>WFRBS Commercial Mortgage Trust 2013-UBS1</t>
  </si>
  <si>
    <t>WFRBS Commercial Mortgage Trust 2013-C18</t>
  </si>
  <si>
    <t>Virtu Financial  Inc.</t>
  </si>
  <si>
    <t>Nexpoint Multifamily Realty Trust  Inc.</t>
  </si>
  <si>
    <t>JPMBB Commercial Mortgage Securities Trust 2013-C17</t>
  </si>
  <si>
    <t>WFRBS Commercial Mortgage Trust 2014-LC14</t>
  </si>
  <si>
    <t>Mentor Capital  Inc.</t>
  </si>
  <si>
    <t>Wells Fargo Commercial Mortgage Trust 2014-LC16</t>
  </si>
  <si>
    <t>JPMBB Commercial Mortgage Securities Trust 2014-C21</t>
  </si>
  <si>
    <t>JPMBB Commercial Mortgage Securities Trust 2014-C22</t>
  </si>
  <si>
    <t>GE Equipment Midticket LLC  Series 2014-1</t>
  </si>
  <si>
    <t>JPMBB Commercial Mortgage Securities Trust 2014-C23</t>
  </si>
  <si>
    <t>World Omni Automobile Lease Securitization Trust 2014-A</t>
  </si>
  <si>
    <t>Ben Franklin Financial  Inc.</t>
  </si>
  <si>
    <t>JPMBB Commercial Mortgage Securities Trust 2014-C24</t>
  </si>
  <si>
    <t>WFRBS Commercial Mortgage Trust 2014-C24</t>
  </si>
  <si>
    <t>JPMBB Commercial Mortgage Securities Trust 2014-C25</t>
  </si>
  <si>
    <t>World Omni Auto Receivables Trust 2014-B</t>
  </si>
  <si>
    <t>JPMBB Commercial Mortgage Securities Trust 2014-C26</t>
  </si>
  <si>
    <t>Tempus Applied Solutions Holdings  Inc.</t>
  </si>
  <si>
    <t>Crescent Capital BDC  Inc.</t>
  </si>
  <si>
    <t>Wells Fargo Commercial Mortgage Trust 2015-C27</t>
  </si>
  <si>
    <t>World Omni Auto Receivables Trust 2015-A</t>
  </si>
  <si>
    <t>GS Mortgage Securities Trust 2015-GC30</t>
  </si>
  <si>
    <t>GS Mortgage Securities Trust 2015-GC32</t>
  </si>
  <si>
    <t>World Omni Automobile Lease Securitization Trust 2015-A</t>
  </si>
  <si>
    <t>CIFC LLC</t>
  </si>
  <si>
    <t>Bank of America Merrill Lynch Commercial Mortgage Trust 2015-UBS7</t>
  </si>
  <si>
    <t>GS Mortgage Securities Trust 2015-GC34</t>
  </si>
  <si>
    <t>Wells Fargo Commercial Mortgage Trust 2015-NXS3</t>
  </si>
  <si>
    <t>Morgan Stanley Bank of America Merrill Lynch Trust 2015-C25</t>
  </si>
  <si>
    <t>Wells Fargo Commercial Mortgage Trust 2015-C31</t>
  </si>
  <si>
    <t>GS Mortgage Securities Trust 2015-GS1</t>
  </si>
  <si>
    <t>WELLS FARGO COMMERCIAL MORTGAGE TRUST 2015-P2</t>
  </si>
  <si>
    <t>Fuse Medical  Inc.</t>
  </si>
  <si>
    <t>COMMUNITY BANCORP /VT</t>
  </si>
  <si>
    <t>MetLife Insurance Co USA</t>
  </si>
  <si>
    <t>REX AMERICAN RESOURCES Corp</t>
  </si>
  <si>
    <t>HealthWarehouse.com  Inc.</t>
  </si>
  <si>
    <t>PVH CORP. /DE/</t>
  </si>
  <si>
    <t>CRYOLIFE INC</t>
  </si>
  <si>
    <t>DIVALL INSURED INCOME PROPERTIES 2 LIMITED PARTNERSHIP</t>
  </si>
  <si>
    <t>INTERLINK ELECTRONICS INC</t>
  </si>
  <si>
    <t>UTG INC</t>
  </si>
  <si>
    <t>KLEVER MARKETING INC</t>
  </si>
  <si>
    <t>TAILORED BRANDS INC</t>
  </si>
  <si>
    <t>OXIGENE INC</t>
  </si>
  <si>
    <t>GUESS INC</t>
  </si>
  <si>
    <t>Tiger X Medical  Inc.</t>
  </si>
  <si>
    <t>METROPOLITAN LIFE INSURANCE CO</t>
  </si>
  <si>
    <t>GSE SYSTEMS INC</t>
  </si>
  <si>
    <t>TOYS R US INC</t>
  </si>
  <si>
    <t>UNITED GUARDIAN INC</t>
  </si>
  <si>
    <t>STEWARDSHIP FINANCIAL CORP</t>
  </si>
  <si>
    <t>DCB FINANCIAL CORP</t>
  </si>
  <si>
    <t>INTERNATIONAL ISOTOPES INC</t>
  </si>
  <si>
    <t>Childrens Place  Inc.</t>
  </si>
  <si>
    <t>TALON INTERNATIONAL  INC.</t>
  </si>
  <si>
    <t>CITIZENS FIRST CORP</t>
  </si>
  <si>
    <t>API Technologies Corp.</t>
  </si>
  <si>
    <t>JONES SODA CO</t>
  </si>
  <si>
    <t>SWK Holdings Corp</t>
  </si>
  <si>
    <t>SPORTSMAN'S WAREHOUSE HOLDINGS  INC.</t>
  </si>
  <si>
    <t>True Drinks Holdings  Inc.</t>
  </si>
  <si>
    <t>Command Center  Inc.</t>
  </si>
  <si>
    <t>INTERFACE SECURITY SYSTEMS HOLDINGS INC</t>
  </si>
  <si>
    <t>COSI INC</t>
  </si>
  <si>
    <t>UNIROYAL GLOBAL ENGINEERED PRODUCTS  INC.</t>
  </si>
  <si>
    <t>EZTD Inc</t>
  </si>
  <si>
    <t>FIVE BELOW  INC</t>
  </si>
  <si>
    <t>SELECT BANCORP  INC.</t>
  </si>
  <si>
    <t>Wright Investors Service Holdings  Inc.</t>
  </si>
  <si>
    <t>First Clover Leaf Financial Corp.</t>
  </si>
  <si>
    <t>Lightstone Value Plus Real Estate Investment Trust  Inc.</t>
  </si>
  <si>
    <t>ConforMIS Inc</t>
  </si>
  <si>
    <t>DSW Inc.</t>
  </si>
  <si>
    <t>CoLucid Pharmaceuticals  Inc.</t>
  </si>
  <si>
    <t>Brekford Corp.</t>
  </si>
  <si>
    <t>United States Diesel-Heating Oil Fund  LP</t>
  </si>
  <si>
    <t>Erin Energy Corp.</t>
  </si>
  <si>
    <t>United States 12 Month Natural Gas Fund  LP</t>
  </si>
  <si>
    <t>Carbon Sciences  Inc.</t>
  </si>
  <si>
    <t>LIGHTSTONE VALUE PLUS REAL ESTATE INVESTMENT TRUST II INC</t>
  </si>
  <si>
    <t>United States Short Oil Fund  LP</t>
  </si>
  <si>
    <t>Xtant Medical Holdings  Inc.</t>
  </si>
  <si>
    <t>Chatham Lodging Trust</t>
  </si>
  <si>
    <t>Reven Housing REIT  Inc.</t>
  </si>
  <si>
    <t>JetPay Corp</t>
  </si>
  <si>
    <t>Thunderclap Entertainment  Inc.</t>
  </si>
  <si>
    <t>DBUBS 2011-LC3 Mortgage Trust</t>
  </si>
  <si>
    <t>J.P. Morgan Chase Commercial Mortgage Securities Trust 2011-C5</t>
  </si>
  <si>
    <t>GS Mortgage Securities Trust 2012-GC6</t>
  </si>
  <si>
    <t>UBS Commercial Mortgage Trust 2012-C1</t>
  </si>
  <si>
    <t>COMM 2012-CCRE1 Mortgage Trust</t>
  </si>
  <si>
    <t>LaPorte Bancorp  Inc.</t>
  </si>
  <si>
    <t>J.P. Morgan Chase Commercial Mortgage Securities Trust 2012-CIBX</t>
  </si>
  <si>
    <t>Citizens Independent Bancorp  Inc.</t>
  </si>
  <si>
    <t>UBS-Barclays Commercial Mortgage Trust 2012-C3</t>
  </si>
  <si>
    <t>COMM 2012-CCRE3 Mortgage Trust</t>
  </si>
  <si>
    <t>WFRBS Commercial Mortgage Trust 2012-C9</t>
  </si>
  <si>
    <t>PBF Holding Co LLC</t>
  </si>
  <si>
    <t>GS Mortgage Securities Trust 2013-GC10</t>
  </si>
  <si>
    <t>PBF Finance Corp</t>
  </si>
  <si>
    <t>COMM 2013-CCRE6 Mortgage Trust</t>
  </si>
  <si>
    <t>WFRBS Commercial Mortgage Trust 2013-C11</t>
  </si>
  <si>
    <t>UBS-Barclays Commercial Mortgage Trust 2013-C5</t>
  </si>
  <si>
    <t>Bright Mountain Media  Inc.</t>
  </si>
  <si>
    <t>J.P. Morgan Chase Commercial Mortgage Securities Trust 2013-C10</t>
  </si>
  <si>
    <t>J.P. Morgan Chase Commercial Mortgage Securities Trust 2013-LC11</t>
  </si>
  <si>
    <t>COMM 2013-CCRE8 Mortgage Trust</t>
  </si>
  <si>
    <t>JPMBB Commercial Mortgage Securities Trust 2013-C12</t>
  </si>
  <si>
    <t>WFRBS Commercial Mortgage Trust 2013-C15</t>
  </si>
  <si>
    <t>OCI Partners LP</t>
  </si>
  <si>
    <t>J.P. Morgan Chase Commercial Mortgage Securities Trust 2013-C13</t>
  </si>
  <si>
    <t>GS Mortgage Securities Trust 2013-GCJ14</t>
  </si>
  <si>
    <t>JPMBB Commercial Mortgage Securities Trust 2013-C14</t>
  </si>
  <si>
    <t>MEDICAL TRANSCRIPTION BILLING  CORP</t>
  </si>
  <si>
    <t>COMM 2013-LC13 Mortgage Trust</t>
  </si>
  <si>
    <t>HINES GLOBAL REIT II  INC.</t>
  </si>
  <si>
    <t>JPMBB Commercial Mortgage Securities Trust 2013-C15</t>
  </si>
  <si>
    <t>Recro Pharma  Inc.</t>
  </si>
  <si>
    <t>COMM 2013-CCRE13 Mortgage Trust</t>
  </si>
  <si>
    <t>J.P. Morgan Chase Commercial Mortgage Securities Trust 2013-C16</t>
  </si>
  <si>
    <t>Dimension Therapeutics  Inc.</t>
  </si>
  <si>
    <t>GS Mortgage Securities Trust 2014-GC18</t>
  </si>
  <si>
    <t>JPMBB Commercial Mortgage Securities Trust 2014-C18</t>
  </si>
  <si>
    <t>COMM 2014-UBS2 Mortgage Trust</t>
  </si>
  <si>
    <t>WFRBS Commercial Mortgage Trust 2014-C19</t>
  </si>
  <si>
    <t>GS Mortgage Securities Trust 2014-GC20</t>
  </si>
  <si>
    <t>JPMBB Commercial Mortgage Securities Trust 2014-C19</t>
  </si>
  <si>
    <t>Natera  Inc.</t>
  </si>
  <si>
    <t>LOVE INTERNATIONAL GROUP  INC.</t>
  </si>
  <si>
    <t>Spark Energy  Inc.</t>
  </si>
  <si>
    <t>J.P. Morgan Chase Commercial Mortgage Securities Trust 2014-C20</t>
  </si>
  <si>
    <t>GS Mortgage Securities Trust 2014-GC22</t>
  </si>
  <si>
    <t>WFRBS Commercial Mortgage Trust 2014-C21</t>
  </si>
  <si>
    <t>COMM 2014-UBS4 Mortgage Trust</t>
  </si>
  <si>
    <t>GS Mortgage Securities Trust 2014-GC24</t>
  </si>
  <si>
    <t>WFRBS Commercial Mortgage Trust 2014-C23</t>
  </si>
  <si>
    <t>WFRBS Commercial Mortgage Trust 2014-C25</t>
  </si>
  <si>
    <t>COMM 2015-LC19 Mortgage Trust</t>
  </si>
  <si>
    <t>FlexFridge  Inc.</t>
  </si>
  <si>
    <t>GS Mortgage Securities Trust 2015-GC28</t>
  </si>
  <si>
    <t>COMM 2015-DC1 Mortgage Trust</t>
  </si>
  <si>
    <t>Wells Fargo Commercial Mortgage Trust 2015-LC20</t>
  </si>
  <si>
    <t>Caesars Growth Properties Holdings  LLC</t>
  </si>
  <si>
    <t>COMM 2015-CCRE23 Mortgage Trust</t>
  </si>
  <si>
    <t>CPI Card Group Inc.</t>
  </si>
  <si>
    <t>Associated Capital Group  Inc.</t>
  </si>
  <si>
    <t>COMM 2015-LC21 Mortgage Trust</t>
  </si>
  <si>
    <t>PBF Energy Co LLC</t>
  </si>
  <si>
    <t>COMM 2015-PC1 Mortgage Trust</t>
  </si>
  <si>
    <t>Capitol Acquisition Corp. III</t>
  </si>
  <si>
    <t>COMM 2015-LC23 Mortgage Trust</t>
  </si>
  <si>
    <t>CATO CORP</t>
  </si>
  <si>
    <t>CITIZENS INC</t>
  </si>
  <si>
    <t>KINGSTONE COMPANIES  INC.</t>
  </si>
  <si>
    <t>CVB FINANCIAL CORP</t>
  </si>
  <si>
    <t>HOME DEPOT INC</t>
  </si>
  <si>
    <t>SABINE OIL &amp; GAS CORP</t>
  </si>
  <si>
    <t>STRATEGIC INTERNET INVESTMENTS INC</t>
  </si>
  <si>
    <t>RELIV INTERNATIONAL INC</t>
  </si>
  <si>
    <t>RANCON REALTY FUND V</t>
  </si>
  <si>
    <t>CORTLAND BANCORP INC</t>
  </si>
  <si>
    <t>TECH DATA CORP</t>
  </si>
  <si>
    <t>RESPONSE BIOMEDICAL CORP</t>
  </si>
  <si>
    <t>SOLIGENIX  INC.</t>
  </si>
  <si>
    <t>SPYR  Inc.</t>
  </si>
  <si>
    <t>SIGNET JEWELERS LTD</t>
  </si>
  <si>
    <t>FUEL TECH  INC.</t>
  </si>
  <si>
    <t>FOOT LOCKER INC</t>
  </si>
  <si>
    <t>HARMONIC INC</t>
  </si>
  <si>
    <t>EMCLAIRE FINANCIAL CORP</t>
  </si>
  <si>
    <t>CHUGACH ELECTRIC ASSOCIATION INC</t>
  </si>
  <si>
    <t>VIVEVE MEDICAL  INC.</t>
  </si>
  <si>
    <t>CLAYTON WILLIAMS ENERGY INC /DE</t>
  </si>
  <si>
    <t>CSB BANCORP INC /OH</t>
  </si>
  <si>
    <t>PERMA FIX ENVIRONMENTAL SERVICES INC</t>
  </si>
  <si>
    <t>Gaming Partners International CORP</t>
  </si>
  <si>
    <t>CONDOR HOSPITALITY TRUST  INC.</t>
  </si>
  <si>
    <t>SOCKET MOBILE  INC.</t>
  </si>
  <si>
    <t>CENTRUS ENERGY CORP</t>
  </si>
  <si>
    <t>PARK OHIO INDUSTRIES INC/OH</t>
  </si>
  <si>
    <t>CENTRAL FEDERAL CORP</t>
  </si>
  <si>
    <t>ICTV Brands Inc.</t>
  </si>
  <si>
    <t>TIVO INC</t>
  </si>
  <si>
    <t>ZHONE TECHNOLOGIES INC</t>
  </si>
  <si>
    <t>METLIFE POLICYHOLDER TRUST</t>
  </si>
  <si>
    <t>CAROLINA BANK HOLDINGS INC</t>
  </si>
  <si>
    <t>REED'S  INC.</t>
  </si>
  <si>
    <t>Venaxis  Inc.</t>
  </si>
  <si>
    <t>TRANSATLANTIC CAPITAL INC.</t>
  </si>
  <si>
    <t>SURREY BANCORP</t>
  </si>
  <si>
    <t>HYUNDAI ABS FUNDING LLC</t>
  </si>
  <si>
    <t>AMEDICA Corp</t>
  </si>
  <si>
    <t>INOTEK PHARMACEUTICALS CORP</t>
  </si>
  <si>
    <t>American Casino &amp; Entertainment Properties LLC</t>
  </si>
  <si>
    <t>IRONCLAD PERFORMANCE WEAR CORP</t>
  </si>
  <si>
    <t>LIQTECH INTERNATIONAL INC</t>
  </si>
  <si>
    <t>Yacht Finders  Inc.</t>
  </si>
  <si>
    <t>World Monitor Trust III - Series J</t>
  </si>
  <si>
    <t>MAGNEGAS CORP</t>
  </si>
  <si>
    <t>Orient Paper Inc.</t>
  </si>
  <si>
    <t>Imprimis Pharmaceuticals  Inc.</t>
  </si>
  <si>
    <t>DCP Holding CO</t>
  </si>
  <si>
    <t>ADMA BIOLOGICS  INC.</t>
  </si>
  <si>
    <t>Discover Card Execution Note Trust</t>
  </si>
  <si>
    <t>STEEL PARTNERS HOLDINGS L.P.</t>
  </si>
  <si>
    <t>Cordia Bancorp Inc</t>
  </si>
  <si>
    <t>County Bancorp  Inc.</t>
  </si>
  <si>
    <t>KMP Futures Fund I LLC</t>
  </si>
  <si>
    <t>Fresh Market  Inc.</t>
  </si>
  <si>
    <t>Affinity Gaming</t>
  </si>
  <si>
    <t>Armstrong Energy  Inc.</t>
  </si>
  <si>
    <t>WFRBS Commercial Mortgage Trust 2011-C5</t>
  </si>
  <si>
    <t>Cerecor Inc.</t>
  </si>
  <si>
    <t>PROGRESSIVE GREEN SOLUTIONS  INC.</t>
  </si>
  <si>
    <t>Akari Therapeutics Plc</t>
  </si>
  <si>
    <t>RREEF Property Trust  Inc.</t>
  </si>
  <si>
    <t>WFRBS Commercial Mortgage Trust 2012-C6</t>
  </si>
  <si>
    <t>Hyundai Auto Receivables Trust 2012-A</t>
  </si>
  <si>
    <t>COMM 2012-LC4 Mortgage Trust</t>
  </si>
  <si>
    <t>J.P. Morgan Chase Commercial Mortgage Securities Trust 2012-C6</t>
  </si>
  <si>
    <t>Five Oaks Investment Corp.</t>
  </si>
  <si>
    <t>GS Mortgage Securities Trust 2012-GCJ7</t>
  </si>
  <si>
    <t>WFRBS Commercial Mortgage Trust 2012-C7</t>
  </si>
  <si>
    <t>Hyundai Auto Receivables Trust 2012-B</t>
  </si>
  <si>
    <t>Hyundai Auto Receivables Trust 2012-C</t>
  </si>
  <si>
    <t>J.P. Morgan Chase Commercial Mortgage Securities Trust 2012-C8</t>
  </si>
  <si>
    <t>Aclaris Therapeutics  Inc.</t>
  </si>
  <si>
    <t>ICON ECI Fund Sixteen</t>
  </si>
  <si>
    <t>J.P. Morgan Chase Commercial Mortgage Securities Trust 2012-LC9</t>
  </si>
  <si>
    <t>Hyundai Auto Receivables Trust 2013-A</t>
  </si>
  <si>
    <t>WFRBS COMMERCIAL MORTGAGE TRUST 2013-C12</t>
  </si>
  <si>
    <t>COMM 2013-CCRE7 Mortgage Trust</t>
  </si>
  <si>
    <t>WFRBS Commercial Mortgage Trust 2013-C13</t>
  </si>
  <si>
    <t>GS Mortgage Securities Trust 2013-GCJ12</t>
  </si>
  <si>
    <t>AJS Bancorp  Inc.</t>
  </si>
  <si>
    <t>Hyundai Auto Receivables Trust 2013-B</t>
  </si>
  <si>
    <t>COMM 2013-CCRE9 Mortgage Trust</t>
  </si>
  <si>
    <t>Morgan Stanley Bank of America Merrill Lynch Trust 2013-C11</t>
  </si>
  <si>
    <t>TOPS HOLDING II CORP</t>
  </si>
  <si>
    <t>Hyundai Auto Receivables Trust 2013-C</t>
  </si>
  <si>
    <t>COMM 2013-CCRE11 Mortgage Trust</t>
  </si>
  <si>
    <t>Cypress Energy Partners  L.P.</t>
  </si>
  <si>
    <t>COMM 2014-CCRE14 Mortgage Trust</t>
  </si>
  <si>
    <t>Glori Energy Inc.</t>
  </si>
  <si>
    <t>Hyundai Auto Receivables Trust 2014-A</t>
  </si>
  <si>
    <t>COMM 2014-LC15 Mortgage Trust</t>
  </si>
  <si>
    <t>COMM 2014-CCRE16 Mortgage Trust</t>
  </si>
  <si>
    <t>COMM 2014-UBS3 Mortgage Trust</t>
  </si>
  <si>
    <t>Hyundai Auto Receivables Trust 2014-B</t>
  </si>
  <si>
    <t>Pangaea Logistics Solutions Ltd.</t>
  </si>
  <si>
    <t>ABV CONSULTING  INC.</t>
  </si>
  <si>
    <t>COMM 2014-CCRE18 Mortgage Trust</t>
  </si>
  <si>
    <t>COMM 2014-UBS5 Mortgage Trust</t>
  </si>
  <si>
    <t>COMM 2014-LC17 Mortgage Trust</t>
  </si>
  <si>
    <t>COMM 2014-CCRE20 Mortgage Trust</t>
  </si>
  <si>
    <t>COMM 2014-CCRE21 Mortgage Trust</t>
  </si>
  <si>
    <t>Hyundai Auto Receivables Trust 2015-A</t>
  </si>
  <si>
    <t>JPMBB Commercial Mortgage Securities Trust 2015-C27</t>
  </si>
  <si>
    <t>Atlantic Alliance Partnership Corp.</t>
  </si>
  <si>
    <t>Star Vending Services Corp.</t>
  </si>
  <si>
    <t>Audax Credit BDC Inc.</t>
  </si>
  <si>
    <t>CSAIL 2015-C1 Commercial Mortgage Trust</t>
  </si>
  <si>
    <t>COMM 2015-CCRE22 Mortgage Trust</t>
  </si>
  <si>
    <t>People's Utah Bancorp</t>
  </si>
  <si>
    <t>JPMBB Commercial Mortgage Securities Trust 2015-C28</t>
  </si>
  <si>
    <t>Hyundai Auto Receivables Trust 2015-B</t>
  </si>
  <si>
    <t>CSAIL 2015-C2 Commercial Mortgage Trust</t>
  </si>
  <si>
    <t>JPMBB Commercial Mortgage Securities Trust 2015-C29</t>
  </si>
  <si>
    <t>JPMBB Commercial Mortgage Securities Trust 2015-C30</t>
  </si>
  <si>
    <t>Discover Funding LLC</t>
  </si>
  <si>
    <t>CSAIL 2015-C3 Commercial Mortgage Trust</t>
  </si>
  <si>
    <t>COMM 2015-CCRE25 Mortgage Trust</t>
  </si>
  <si>
    <t>JPMBB Commercial Mortgage Securities Trust 2015-C31</t>
  </si>
  <si>
    <t>Hyundai Auto Receivables Trust 2015-C</t>
  </si>
  <si>
    <t>EOS INC.</t>
  </si>
  <si>
    <t>JPMBB Commercial Mortgage Securities Trust 2015-C32</t>
  </si>
  <si>
    <t>CSAIL 2015-C4 Commercial Mortgage Trust</t>
  </si>
  <si>
    <t>JPMBB Commercial Mortgage Securities Trust 2015-C33</t>
  </si>
  <si>
    <t>JPMCC Commercial Mortgage Securities Trust 2015-JP1</t>
  </si>
  <si>
    <t>DILLARDS INC</t>
  </si>
  <si>
    <t>HMG COURTLAND PROPERTIES INC</t>
  </si>
  <si>
    <t>CECO ENVIRONMENTAL CORP</t>
  </si>
  <si>
    <t>Investors Heritage Capital Corp</t>
  </si>
  <si>
    <t>DNB FINANCIAL CORP /PA/</t>
  </si>
  <si>
    <t>BEST BUY CO INC</t>
  </si>
  <si>
    <t>AUTODESK INC</t>
  </si>
  <si>
    <t>NAVIDEA BIOPHARMACEUTICALS  INC.</t>
  </si>
  <si>
    <t>ALP LIQUIDATING TRUST</t>
  </si>
  <si>
    <t>CAPSTONE COMPANIES  INC.</t>
  </si>
  <si>
    <t>FUTURES PORTFOLIO FUND L.P.</t>
  </si>
  <si>
    <t>Adamis Pharmaceuticals Corp</t>
  </si>
  <si>
    <t>DISCOVER CARD MASTER TRUST I</t>
  </si>
  <si>
    <t>EVEREST REINSURANCE HOLDINGS INC</t>
  </si>
  <si>
    <t>INTERNATIONAL TEXTILE GROUP INC</t>
  </si>
  <si>
    <t>MYMETICS CORP</t>
  </si>
  <si>
    <t>RECKSON OPERATING PARTNERSHIP LP</t>
  </si>
  <si>
    <t>INTERSECTIONS INC</t>
  </si>
  <si>
    <t>ORANCO INC</t>
  </si>
  <si>
    <t>1ST CONSTITUTION BANCORP</t>
  </si>
  <si>
    <t>LPATH  INC</t>
  </si>
  <si>
    <t>BIMINI CAPITAL MANAGEMENT  INC.</t>
  </si>
  <si>
    <t>Workday  Inc.</t>
  </si>
  <si>
    <t>Federal Home Loan Bank of Dallas</t>
  </si>
  <si>
    <t>Munro Developments  Inc.</t>
  </si>
  <si>
    <t>BLUE CALYPSO  INC.</t>
  </si>
  <si>
    <t>Synacor  Inc.</t>
  </si>
  <si>
    <t>Pershing Gold Corp.</t>
  </si>
  <si>
    <t>STR HOLDINGS  INC.</t>
  </si>
  <si>
    <t>Lifeloc Technologies  Inc</t>
  </si>
  <si>
    <t>Dipexium Pharmaceuticals  Inc.</t>
  </si>
  <si>
    <t>Daniels Corporate Advisory Company  Inc.</t>
  </si>
  <si>
    <t>Ariel Clean Energy  Inc.</t>
  </si>
  <si>
    <t>GWG Holdings  Inc.</t>
  </si>
  <si>
    <t>ExOne Co</t>
  </si>
  <si>
    <t>COMM 2013-LC6 Mortgage Trust</t>
  </si>
  <si>
    <t>KBS Strategic Opportunity REIT II  Inc.</t>
  </si>
  <si>
    <t>Prime Meridian Holding Co</t>
  </si>
  <si>
    <t>Chess Supersite Corp</t>
  </si>
  <si>
    <t>COMM 2014-CCRE17 Mortgage Trust</t>
  </si>
  <si>
    <t>American Realty Capital Global Trust II  Inc.</t>
  </si>
  <si>
    <t>COMM 2014-UBS6 Mortgage Trust</t>
  </si>
  <si>
    <t>CannaMED Enterprises  Inc.</t>
  </si>
  <si>
    <t>Long Island Iced Tea Corp.</t>
  </si>
  <si>
    <t>INTELLIGENT CLOUD RESOURCES INC.</t>
  </si>
  <si>
    <t>FS Investment Corp IV</t>
  </si>
  <si>
    <t>Allegiance Bancshares  Inc.</t>
  </si>
  <si>
    <t>Four Corners Property Trust  Inc.</t>
  </si>
  <si>
    <t>COMM 2015-CCRE27 Mortgage Trust</t>
  </si>
  <si>
    <t>DOLLAR GENERAL CORP</t>
  </si>
  <si>
    <t>NORTECH SYSTEMS INC</t>
  </si>
  <si>
    <t>Banyan Rail Services Inc.</t>
  </si>
  <si>
    <t>ROCK CREEK PHARMACEUTICALS  INC.</t>
  </si>
  <si>
    <t>ASSOCIATED MATERIALS  LLC</t>
  </si>
  <si>
    <t>ANCHOR BANCORP WISCONSIN INC</t>
  </si>
  <si>
    <t>Federal Home Loan Bank of Des Moines</t>
  </si>
  <si>
    <t>Celator Pharmaceuticals Inc</t>
  </si>
  <si>
    <t>Federal Home Loan Bank of New York</t>
  </si>
  <si>
    <t>AURORA DIAGNOSTICS HOLDINGS LLC</t>
  </si>
  <si>
    <t>SMARTCHASE CORP.</t>
  </si>
  <si>
    <t>Gener8 Maritime  Inc.</t>
  </si>
  <si>
    <t>RITTER PHARMACEUTICALS INC</t>
  </si>
  <si>
    <t>VAPIR ENTERPRISES INC.</t>
  </si>
  <si>
    <t>Corporate Capital Trust  Inc.</t>
  </si>
  <si>
    <t>Nemus Bioscience  Inc.</t>
  </si>
  <si>
    <t>SIGNAL GENETICS  INC.</t>
  </si>
  <si>
    <t>Bellerophon Therapeutics  Inc.</t>
  </si>
  <si>
    <t>1347 Capital Corp</t>
  </si>
  <si>
    <t>COMM 2014-CCRE19 Mortgage Trust</t>
  </si>
  <si>
    <t>Patriot National  Inc.</t>
  </si>
  <si>
    <t>NexPoint Residential Trust  Inc.</t>
  </si>
  <si>
    <t>EndoChoice Holdings  Inc.</t>
  </si>
  <si>
    <t>Business First Bancshares  Inc.</t>
  </si>
  <si>
    <t>CHICAGO RIVET &amp; MACHINE CO</t>
  </si>
  <si>
    <t>GAP INC</t>
  </si>
  <si>
    <t>MENTOR GRAPHICS CORP</t>
  </si>
  <si>
    <t>SECURITY FEDERAL CORP</t>
  </si>
  <si>
    <t>UNITED STATES CELLULAR CORP</t>
  </si>
  <si>
    <t>PROVIDENCE &amp; WORCESTER RAILROAD CO/RI/</t>
  </si>
  <si>
    <t>EXA CORP</t>
  </si>
  <si>
    <t>SERVOTRONICS INC /DE/</t>
  </si>
  <si>
    <t>WELLS FINANCIAL CORP</t>
  </si>
  <si>
    <t>FAMOUS DAVES OF AMERICA INC</t>
  </si>
  <si>
    <t>WEIS MARKETS INC</t>
  </si>
  <si>
    <t>NETREIT  INC.</t>
  </si>
  <si>
    <t>FAUQUIER BANKSHARES  INC.</t>
  </si>
  <si>
    <t>INVENTIV HEALTH INC</t>
  </si>
  <si>
    <t>ML SELECT FUTURES I LP</t>
  </si>
  <si>
    <t>HOUSTON AMERICAN ENERGY CORP</t>
  </si>
  <si>
    <t>COLLEGIUM PHARMACEUTICAL  INC</t>
  </si>
  <si>
    <t>InvenTrust Properties Corp.</t>
  </si>
  <si>
    <t>Behringer Harvard Opportunity REIT I  Inc.</t>
  </si>
  <si>
    <t>Aspect FuturesAccess LLC</t>
  </si>
  <si>
    <t>ML Winton FuturesAccess LLC</t>
  </si>
  <si>
    <t>Summit Healthcare REIT  Inc</t>
  </si>
  <si>
    <t>PARKE BANCORP  INC.</t>
  </si>
  <si>
    <t>Lightwave Logic  Inc.</t>
  </si>
  <si>
    <t>Federal Home Loan Bank of Boston</t>
  </si>
  <si>
    <t>TOWERSTREAM CORP</t>
  </si>
  <si>
    <t>ML Transtrend DTP Enhanced FuturesAccess LLC</t>
  </si>
  <si>
    <t>PROSPER MARKETPLACE  INC</t>
  </si>
  <si>
    <t>CNL Growth Properties  Inc.</t>
  </si>
  <si>
    <t>Leatt Corp</t>
  </si>
  <si>
    <t>IDI  Inc.</t>
  </si>
  <si>
    <t>HD SUPPLY  INC.</t>
  </si>
  <si>
    <t>Neos Therapeutics  Inc.</t>
  </si>
  <si>
    <t>Steadfast Income REIT  Inc.</t>
  </si>
  <si>
    <t>ML BlueTrend FuturesAccess LLC</t>
  </si>
  <si>
    <t>Gopher Protocol Inc.</t>
  </si>
  <si>
    <t>Green Endeavors  Inc.</t>
  </si>
  <si>
    <t>MAGELLAN GOLD Corp</t>
  </si>
  <si>
    <t>GLOBAL EQUITY INTERNATIONAL INC</t>
  </si>
  <si>
    <t>FITWEISER HOLDINGS  INC.</t>
  </si>
  <si>
    <t>Prosper Funding LLC</t>
  </si>
  <si>
    <t>MyoKardia Inc</t>
  </si>
  <si>
    <t>NorthStar Real Estate Income II  Inc.</t>
  </si>
  <si>
    <t>BRE Select Hotels Corp</t>
  </si>
  <si>
    <t>NanoFlex Power Corp</t>
  </si>
  <si>
    <t>HD Supply Holdings  Inc.</t>
  </si>
  <si>
    <t>Sunshine Bancorp  Inc.</t>
  </si>
  <si>
    <t>Stallion Synergies  Inc</t>
  </si>
  <si>
    <t>Cidara Therapeutics  Inc.</t>
  </si>
  <si>
    <t>MEDLEY MANAGEMENT INC.</t>
  </si>
  <si>
    <t>Fifth Street Asset Management Inc.</t>
  </si>
  <si>
    <t>Gogo Baby  Inc.</t>
  </si>
  <si>
    <t>Freedom Capital Corp/MD</t>
  </si>
  <si>
    <t>MSB FINANCIAL CORP</t>
  </si>
  <si>
    <t>Crowd 4 Seeds  Inc.</t>
  </si>
  <si>
    <t>AveXis  Inc.</t>
  </si>
  <si>
    <t>ZEC  Inc.</t>
  </si>
  <si>
    <t>PROTECTIVE LIFE INSURANCE CO</t>
  </si>
  <si>
    <t>COCA COLA BOTTLING CO CONSOLIDATED /DE/</t>
  </si>
  <si>
    <t>L Brands  Inc.</t>
  </si>
  <si>
    <t>BOVIE MEDICAL Corp</t>
  </si>
  <si>
    <t>AXA EQUITABLE LIFE INSURANCE CO</t>
  </si>
  <si>
    <t>DONEGAL GROUP INC</t>
  </si>
  <si>
    <t>VOYA INSURANCE &amp; ANNUITY Co</t>
  </si>
  <si>
    <t>VOYA RETIREMENT INSURANCE &amp; ANNUITY Co</t>
  </si>
  <si>
    <t>URANIUM RESOURCES INC /DE/</t>
  </si>
  <si>
    <t>INLAND LAND APPRECIATION FUND II LP</t>
  </si>
  <si>
    <t>NATIONAL SECURITY GROUP INC</t>
  </si>
  <si>
    <t>DELCATH SYSTEMS  INC.</t>
  </si>
  <si>
    <t>INSIGNIA SYSTEMS INC/MN</t>
  </si>
  <si>
    <t>QUICKLOGIC CORPORATION</t>
  </si>
  <si>
    <t>CHRISTOPHER &amp; BANKS CORP</t>
  </si>
  <si>
    <t>KOHLS Corp</t>
  </si>
  <si>
    <t>SPEEDWAY MOTORSPORTS INC</t>
  </si>
  <si>
    <t>NVIDIA CORP</t>
  </si>
  <si>
    <t>EMAGIN CORP</t>
  </si>
  <si>
    <t>J CREW GROUP INC</t>
  </si>
  <si>
    <t>LMI AEROSPACE INC</t>
  </si>
  <si>
    <t>XCel Brands  Inc.</t>
  </si>
  <si>
    <t>INTERNATIONAL MONETARY SYSTEMS LTD /WI/</t>
  </si>
  <si>
    <t>SMTC CORP</t>
  </si>
  <si>
    <t>MobileSmith  Inc.</t>
  </si>
  <si>
    <t>BUILD A BEAR WORKSHOP INC</t>
  </si>
  <si>
    <t>Eco-Stim Energy Solutions  Inc.</t>
  </si>
  <si>
    <t>PLUMAS BANCORP</t>
  </si>
  <si>
    <t>EQUITY BANCSHARES INC</t>
  </si>
  <si>
    <t>BANK OF THE JAMES FINANCIAL GROUP INC</t>
  </si>
  <si>
    <t>SHOAL GAMES LTD.</t>
  </si>
  <si>
    <t>Federal Home Loan Bank of Cincinnati</t>
  </si>
  <si>
    <t>CHIASMA  INC</t>
  </si>
  <si>
    <t>Accelerize Inc.</t>
  </si>
  <si>
    <t>ChromaDex Corp.</t>
  </si>
  <si>
    <t>MusclePharm Corp</t>
  </si>
  <si>
    <t>Kura Oncology  Inc.</t>
  </si>
  <si>
    <t>NorthStar Real Estate Income Trust  Inc.</t>
  </si>
  <si>
    <t>Key Link Assets Corp.</t>
  </si>
  <si>
    <t>Global Eagle Entertainment Inc.</t>
  </si>
  <si>
    <t>WideOpenWest Finance  LLC</t>
  </si>
  <si>
    <t>OXBRIDGE RE HOLDINGS Ltd</t>
  </si>
  <si>
    <t>1347 Property Insurance Holdings  Inc.</t>
  </si>
  <si>
    <t>Michaels Companies  Inc.</t>
  </si>
  <si>
    <t>JOINT Corp</t>
  </si>
  <si>
    <t>Voyager Therapeutics  Inc.</t>
  </si>
  <si>
    <t>Gores Holdings  Inc.</t>
  </si>
  <si>
    <t>DAYTON POWER &amp; LIGHT CO</t>
  </si>
  <si>
    <t>GLOWPOINT  INC.</t>
  </si>
  <si>
    <t>DPL INC</t>
  </si>
  <si>
    <t>MGP INGREDIENTS INC</t>
  </si>
  <si>
    <t>Heritage Global Inc.</t>
  </si>
  <si>
    <t>SEVERN BANCORP INC</t>
  </si>
  <si>
    <t>MID PENN BANCORP INC</t>
  </si>
  <si>
    <t>ARCA biopharma  Inc.</t>
  </si>
  <si>
    <t>ROYAL BANCSHARES OF PENNSYLVANIA INC</t>
  </si>
  <si>
    <t>SYSTEMAX INC</t>
  </si>
  <si>
    <t>LEUCADIA NATIONAL CORP</t>
  </si>
  <si>
    <t>SUSSEX BANCORP</t>
  </si>
  <si>
    <t>INTERLEUKIN GENETICS INC</t>
  </si>
  <si>
    <t>HACKETT GROUP  INC.</t>
  </si>
  <si>
    <t>PEABODY ENERGY CORP</t>
  </si>
  <si>
    <t>NORTHWEST BIOTHERAPEUTICS INC</t>
  </si>
  <si>
    <t>M&amp;F BANCORP INC /NC/</t>
  </si>
  <si>
    <t>LEAP TECHNOLOGY INC / DE</t>
  </si>
  <si>
    <t>SAJAN INC</t>
  </si>
  <si>
    <t>INTERNATIONAL TOWER HILL MINES LTD</t>
  </si>
  <si>
    <t>J C PENNEY CO INC</t>
  </si>
  <si>
    <t>GLOBEIMMUNE INC</t>
  </si>
  <si>
    <t>SEARS HOLDINGS CORP</t>
  </si>
  <si>
    <t>Amber Road  Inc.</t>
  </si>
  <si>
    <t>Protea Biosciences Group  Inc.</t>
  </si>
  <si>
    <t>TETRALOGIC PHARMACEUTICALS CORP</t>
  </si>
  <si>
    <t>Willdan Group  Inc.</t>
  </si>
  <si>
    <t>Behringer Harvard Opportunity REIT II  Inc.</t>
  </si>
  <si>
    <t>Heritage-Crystal Clean  Inc.</t>
  </si>
  <si>
    <t>Atlantic Coast Financial CORP</t>
  </si>
  <si>
    <t>Carey Watermark Investors Inc</t>
  </si>
  <si>
    <t>KEMPHARM  INC</t>
  </si>
  <si>
    <t>Quest Resource Holding Corp</t>
  </si>
  <si>
    <t>Southern Concepts Restaurant Group  Inc.</t>
  </si>
  <si>
    <t>Skyline Medical Inc.</t>
  </si>
  <si>
    <t>EXP Realty International Corp</t>
  </si>
  <si>
    <t>SandRidge Mississippian Trust I</t>
  </si>
  <si>
    <t>SandRidge Permian Trust</t>
  </si>
  <si>
    <t>SOCIAL REALITY  Inc.</t>
  </si>
  <si>
    <t>SandRidge Mississippian Trust II</t>
  </si>
  <si>
    <t>American Finance Trust  Inc</t>
  </si>
  <si>
    <t>Voltari Corp</t>
  </si>
  <si>
    <t>CareTrust REIT  Inc.</t>
  </si>
  <si>
    <t>American Realty Capital New York City REIT  Inc.</t>
  </si>
  <si>
    <t>Carey Credit Income Fund 2016 T</t>
  </si>
  <si>
    <t>Carey Credit Income Fund</t>
  </si>
  <si>
    <t>SeaSpine Holdings Corp</t>
  </si>
  <si>
    <t>CASTLE A M &amp; CO</t>
  </si>
  <si>
    <t>INTELLIGENT SYSTEMS CORP</t>
  </si>
  <si>
    <t>GOLDFIELD CORP</t>
  </si>
  <si>
    <t>UNITED BANCORP INC /OH/</t>
  </si>
  <si>
    <t>RECEIVABLE ACQUISITION &amp; MANAGEMENT CORP</t>
  </si>
  <si>
    <t>SIGMA LABS  INC.</t>
  </si>
  <si>
    <t>LIFEWAY FOODS INC</t>
  </si>
  <si>
    <t>GeoVax Labs  Inc.</t>
  </si>
  <si>
    <t>KADANT INC</t>
  </si>
  <si>
    <t>VAALCO ENERGY INC /DE/</t>
  </si>
  <si>
    <t>FIRST COMMUNITY CORP /SC/</t>
  </si>
  <si>
    <t>TG THERAPEUTICS  INC.</t>
  </si>
  <si>
    <t>BLOUNT INTERNATIONAL INC</t>
  </si>
  <si>
    <t>MMA CAPITAL MANAGEMENT  LLC</t>
  </si>
  <si>
    <t>OCEANFIRST FINANCIAL CORP</t>
  </si>
  <si>
    <t>MAGICJACK VOCALTEC LTD</t>
  </si>
  <si>
    <t>TOMPKINS FINANCIAL CORP</t>
  </si>
  <si>
    <t>HC2 Holdings  Inc.</t>
  </si>
  <si>
    <t>PRGX GLOBAL  INC.</t>
  </si>
  <si>
    <t>JAKKS PACIFIC INC</t>
  </si>
  <si>
    <t>FAIRMOUNT SANTROL HOLDINGS INC.</t>
  </si>
  <si>
    <t>ACRE REALTY INVESTORS INC</t>
  </si>
  <si>
    <t>FLAMEL TECHNOLOGIES SA</t>
  </si>
  <si>
    <t>NORWOOD FINANCIAL CORP</t>
  </si>
  <si>
    <t>IMATION CORP</t>
  </si>
  <si>
    <t>FIRST ACCEPTANCE CORP /DE/</t>
  </si>
  <si>
    <t>ENTERPRISE BANCORP INC /MA/</t>
  </si>
  <si>
    <t>CENTRUE FINANCIAL CORP</t>
  </si>
  <si>
    <t>NOVATEL WIRELESS INC</t>
  </si>
  <si>
    <t>LADENBURG THALMANN FINANCIAL SERVICES INC</t>
  </si>
  <si>
    <t>OFG BANCORP</t>
  </si>
  <si>
    <t>WIDEPOINT CORP</t>
  </si>
  <si>
    <t>ARCH COAL INC</t>
  </si>
  <si>
    <t>HESKA CORP</t>
  </si>
  <si>
    <t>EASTERN VIRGINIA BANKSHARES INC</t>
  </si>
  <si>
    <t>PEAPACK GLADSTONE FINANCIAL CORP</t>
  </si>
  <si>
    <t>STRATA Skin Sciences  Inc.</t>
  </si>
  <si>
    <t>EVOLVING SYSTEMS INC</t>
  </si>
  <si>
    <t>MANNATECH INC</t>
  </si>
  <si>
    <t>PC TEL INC</t>
  </si>
  <si>
    <t>GAMCO INVESTORS  INC. ET AL</t>
  </si>
  <si>
    <t>CARDINAL FINANCIAL CORP</t>
  </si>
  <si>
    <t>Opexa Therapeutics  Inc.</t>
  </si>
  <si>
    <t>CITIZENS HOLDING CO /MS/</t>
  </si>
  <si>
    <t>VirnetX Holding Corp</t>
  </si>
  <si>
    <t>LIGHTBRIDGE Corp</t>
  </si>
  <si>
    <t>Actua Corp</t>
  </si>
  <si>
    <t>GAIAM  INC</t>
  </si>
  <si>
    <t>PLUG POWER INC</t>
  </si>
  <si>
    <t>MUTUALFIRST FINANCIAL INC</t>
  </si>
  <si>
    <t>PFSWEB INC</t>
  </si>
  <si>
    <t>FIDELITY D &amp; D BANCORP INC</t>
  </si>
  <si>
    <t>AGENUS INC</t>
  </si>
  <si>
    <t>LIVEPERSON INC</t>
  </si>
  <si>
    <t>QS Energy  Inc.</t>
  </si>
  <si>
    <t>BROADVIEW NETWORKS HOLDINGS INC</t>
  </si>
  <si>
    <t>CENTRAL VALLEY COMMUNITY BANCORP</t>
  </si>
  <si>
    <t>PHOENIX COMPANIES INC/DE</t>
  </si>
  <si>
    <t>ZION OIL &amp; GAS INC</t>
  </si>
  <si>
    <t>GALECTIN THERAPEUTICS INC</t>
  </si>
  <si>
    <t>BIO-PATH HOLDINGS INC</t>
  </si>
  <si>
    <t>SYNTA PHARMACEUTICALS CORP</t>
  </si>
  <si>
    <t>CUTERA INC</t>
  </si>
  <si>
    <t>FNB BANCORP/CA/</t>
  </si>
  <si>
    <t>ACCESS NATIONAL CORP</t>
  </si>
  <si>
    <t>GLAUKOS Corp</t>
  </si>
  <si>
    <t>CONNECTURE INC</t>
  </si>
  <si>
    <t>NEOPHOTONICS CORP</t>
  </si>
  <si>
    <t>ASHFORD HOSPITALITY TRUST INC</t>
  </si>
  <si>
    <t>GTX INC /DE/</t>
  </si>
  <si>
    <t>ALIMERA SCIENCES INC</t>
  </si>
  <si>
    <t>UNIVERSAL BIOSENSORS INC</t>
  </si>
  <si>
    <t>OMEROS CORP</t>
  </si>
  <si>
    <t>WALKER INNOVATION INC.</t>
  </si>
  <si>
    <t>Bancorp  Inc.</t>
  </si>
  <si>
    <t>Amphastar Pharmaceuticals  Inc.</t>
  </si>
  <si>
    <t>OHA Investment Corp</t>
  </si>
  <si>
    <t>Achaogen Inc</t>
  </si>
  <si>
    <t>Universal Truckload Services  Inc.</t>
  </si>
  <si>
    <t>SOLAZYME INC</t>
  </si>
  <si>
    <t>Everi Holdings Inc.</t>
  </si>
  <si>
    <t>Southern National Bancorp of Virginia Inc</t>
  </si>
  <si>
    <t>AVEO PHARMACEUTICALS INC</t>
  </si>
  <si>
    <t>GENCO SHIPPING &amp; TRADING LTD</t>
  </si>
  <si>
    <t>LINN ENERGY  LLC</t>
  </si>
  <si>
    <t>iShares S&amp;P GSCI Commodity-Indexed Trust</t>
  </si>
  <si>
    <t>Aegerion Pharmaceuticals  Inc.</t>
  </si>
  <si>
    <t>Alphatec Holdings  Inc.</t>
  </si>
  <si>
    <t>China XD Plastics Co Ltd</t>
  </si>
  <si>
    <t>CATALYST PHARMACEUTICALS  INC.</t>
  </si>
  <si>
    <t>FBR &amp; Co.</t>
  </si>
  <si>
    <t>ZAFGEN  INC.</t>
  </si>
  <si>
    <t>ZOGENIX  INC.</t>
  </si>
  <si>
    <t>TREMOR VIDEO INC.</t>
  </si>
  <si>
    <t>WisdomTree Continuous Commodity Index Master Fund</t>
  </si>
  <si>
    <t>WisdomTree Continuous Commodity Index Fund</t>
  </si>
  <si>
    <t>RING ENERGY  INC.</t>
  </si>
  <si>
    <t>BIND Therapeutics  Inc</t>
  </si>
  <si>
    <t>ENERGY FUELS INC</t>
  </si>
  <si>
    <t>Corporate Property Associates 17 - Global INC</t>
  </si>
  <si>
    <t>TIPTREE FINANCIAL INC.</t>
  </si>
  <si>
    <t>REX ENERGY CORP</t>
  </si>
  <si>
    <t>Orion Marine Group Inc</t>
  </si>
  <si>
    <t>Franklin Financial Network Inc.</t>
  </si>
  <si>
    <t>Nobilis Health Corp.</t>
  </si>
  <si>
    <t>CorMedix Inc.</t>
  </si>
  <si>
    <t>Cape Bancorp  Inc.</t>
  </si>
  <si>
    <t>Cocrystal Pharma  Inc.</t>
  </si>
  <si>
    <t>First Foundation Inc.</t>
  </si>
  <si>
    <t>Zeltiq Aesthetics Inc</t>
  </si>
  <si>
    <t>WESTMOUNTAIN DISTRESSED DEBT INC</t>
  </si>
  <si>
    <t>WestMountain Alternative Energy Inc</t>
  </si>
  <si>
    <t>Fortress Biotech  Inc.</t>
  </si>
  <si>
    <t>Immune Design Corp.</t>
  </si>
  <si>
    <t>OptimizeRx Corp</t>
  </si>
  <si>
    <t>STONEGATE MORTGAGE CORP</t>
  </si>
  <si>
    <t>CATABASIS PHARMACEUTICALS INC</t>
  </si>
  <si>
    <t>Altisource Portfolio Solutions S.A.</t>
  </si>
  <si>
    <t>Zoom Telephonics  Inc.</t>
  </si>
  <si>
    <t>Teucrium Commodity Trust</t>
  </si>
  <si>
    <t>WashingtonFirst Bankshares  Inc.</t>
  </si>
  <si>
    <t>CONTRAFECT Corp</t>
  </si>
  <si>
    <t>Eagle Bancorp Montana  Inc.</t>
  </si>
  <si>
    <t>Virtus Oil &amp; Gas Corp.</t>
  </si>
  <si>
    <t>Venture Lending &amp; Leasing VI  Inc.</t>
  </si>
  <si>
    <t>KEYW HOLDING CORP</t>
  </si>
  <si>
    <t>OFS Capital Corp</t>
  </si>
  <si>
    <t>Northfield Bancorp  Inc.</t>
  </si>
  <si>
    <t>Firsthand Technology Value Fund  Inc.</t>
  </si>
  <si>
    <t>Calithera Biosciences  Inc.</t>
  </si>
  <si>
    <t>Veritex Holdings  Inc.</t>
  </si>
  <si>
    <t>Conifer Holdings  Inc.</t>
  </si>
  <si>
    <t>Karyopharm Therapeutics Inc.</t>
  </si>
  <si>
    <t>Swisher Hygiene Inc.</t>
  </si>
  <si>
    <t>VOC Energy Trust</t>
  </si>
  <si>
    <t>Bankwell Financial Group  Inc.</t>
  </si>
  <si>
    <t>Sunshine Heart  Inc.</t>
  </si>
  <si>
    <t>ARATANA THERAPEUTICS  INC.</t>
  </si>
  <si>
    <t>GSV Capital Corp.</t>
  </si>
  <si>
    <t>SAExploration Holdings  Inc.</t>
  </si>
  <si>
    <t>Entegra Financial Corp.</t>
  </si>
  <si>
    <t>Rentech Nitrogen Partners  L.P.</t>
  </si>
  <si>
    <t>Genie Energy Ltd.</t>
  </si>
  <si>
    <t>Inland Real Estate Income Trust  Inc.</t>
  </si>
  <si>
    <t>BioAmber Inc.</t>
  </si>
  <si>
    <t>Foresight Energy LP</t>
  </si>
  <si>
    <t>LinnCo  LLC</t>
  </si>
  <si>
    <t>Performant Financial Corp</t>
  </si>
  <si>
    <t>WhiteHorse Finance  Inc.</t>
  </si>
  <si>
    <t>Venture Lending &amp; Leasing VII  Inc.</t>
  </si>
  <si>
    <t>CORPORATE PROPERTY ASSOCIATES 18 GLOBAL INC</t>
  </si>
  <si>
    <t>Harvest Capital Credit Corp</t>
  </si>
  <si>
    <t>Crimson Wine Group  Ltd</t>
  </si>
  <si>
    <t>Smart &amp; Final Stores  Inc.</t>
  </si>
  <si>
    <t>Lightstone Value Plus Real Estate Investment Trust III  Inc.</t>
  </si>
  <si>
    <t>Cherry Hill Mortgage Investment Corp</t>
  </si>
  <si>
    <t>Ashford Hospitality Prime  Inc.</t>
  </si>
  <si>
    <t>BMC STOCK HOLDINGS  INC.</t>
  </si>
  <si>
    <t>Energous Corp</t>
  </si>
  <si>
    <t>Marcus &amp; Millichap  Inc.</t>
  </si>
  <si>
    <t>Burlington Stores  Inc.</t>
  </si>
  <si>
    <t>Loxo Oncology  Inc.</t>
  </si>
  <si>
    <t>American Capital Senior Floating  Ltd.</t>
  </si>
  <si>
    <t>Coastway Bancorp  Inc.</t>
  </si>
  <si>
    <t>Newtek Business Services Corp.</t>
  </si>
  <si>
    <t>Eldorado Resorts  Inc.</t>
  </si>
  <si>
    <t>Farmland Partners Inc.</t>
  </si>
  <si>
    <t>Veritiv Corp</t>
  </si>
  <si>
    <t>Vectrus  Inc.</t>
  </si>
  <si>
    <t>Ashford Inc</t>
  </si>
  <si>
    <t>Tech Foundry Ventures  Inc.</t>
  </si>
  <si>
    <t>Vivint Solar  Inc.</t>
  </si>
  <si>
    <t>Hortonworks  Inc.</t>
  </si>
  <si>
    <t>OM Asset Management plc</t>
  </si>
  <si>
    <t>Hydra Industries Acquisition Corp.</t>
  </si>
  <si>
    <t>Lightstone Real Estate Income Trust Inc.</t>
  </si>
  <si>
    <t>Venture Lending &amp; Leasing VIII  Inc.</t>
  </si>
  <si>
    <t>Aralez Pharmaceuticals Inc.</t>
  </si>
  <si>
    <t>CAPITAL PROPERTIES INC /RI/</t>
  </si>
  <si>
    <t>EASTERN CO</t>
  </si>
  <si>
    <t>BFC FINANCIAL CORP</t>
  </si>
  <si>
    <t>TEAM INC</t>
  </si>
  <si>
    <t>Caladrius Biosciences  Inc.</t>
  </si>
  <si>
    <t>Teligent  Inc.</t>
  </si>
  <si>
    <t>Real Industry  Inc.</t>
  </si>
  <si>
    <t>AMPCO PITTSBURGH CORP</t>
  </si>
  <si>
    <t>MARCUS CORP</t>
  </si>
  <si>
    <t>UNION BANKSHARES INC</t>
  </si>
  <si>
    <t>ONE LIBERTY PROPERTIES INC</t>
  </si>
  <si>
    <t>JUNIATA VALLEY FINANCIAL CORP</t>
  </si>
  <si>
    <t>NEW ULM TELECOM INC</t>
  </si>
  <si>
    <t>FIRST KEYSTONE CORP</t>
  </si>
  <si>
    <t>FIRST OF LONG ISLAND CORP</t>
  </si>
  <si>
    <t>AMERICAN NATIONAL BANKSHARES INC.</t>
  </si>
  <si>
    <t>MIDSOUTH BANCORP INC</t>
  </si>
  <si>
    <t>NTN BUZZTIME INC</t>
  </si>
  <si>
    <t>PEOPLES FINANCIAL CORP /MS/</t>
  </si>
  <si>
    <t>PENN VIRGINIA CORP</t>
  </si>
  <si>
    <t>Pacific Ethanol  Inc.</t>
  </si>
  <si>
    <t>RadNet  Inc.</t>
  </si>
  <si>
    <t>PAM TRANSPORTATION SERVICES INC</t>
  </si>
  <si>
    <t>NATIONAL PRESTO INDUSTRIES INC</t>
  </si>
  <si>
    <t>CLEARONE INC</t>
  </si>
  <si>
    <t>LAKELAND BANCORP INC</t>
  </si>
  <si>
    <t>Lake Sunapee Bank Group</t>
  </si>
  <si>
    <t>Sorrento Therapeutics  Inc.</t>
  </si>
  <si>
    <t>ROYALE ENERGY INC</t>
  </si>
  <si>
    <t>ORBITAL ATK  INC.</t>
  </si>
  <si>
    <t>ABRAXAS PETROLEUM CORP</t>
  </si>
  <si>
    <t>RENTECH  INC.</t>
  </si>
  <si>
    <t>NUMEREX CORP /PA/</t>
  </si>
  <si>
    <t>INCYTE CORP</t>
  </si>
  <si>
    <t>STEMCELLS INC</t>
  </si>
  <si>
    <t>GULF RESOURCES  INC.</t>
  </si>
  <si>
    <t>STRATUS PROPERTIES INC</t>
  </si>
  <si>
    <t>UNIVERSAL HOSPITAL SERVICES INC</t>
  </si>
  <si>
    <t>PREMIER FINANCIAL BANCORP INC</t>
  </si>
  <si>
    <t>MoSys  Inc.</t>
  </si>
  <si>
    <t>AMERI Holdings  Inc.</t>
  </si>
  <si>
    <t>DERMA SCIENCES  INC.</t>
  </si>
  <si>
    <t>Qumu Corp</t>
  </si>
  <si>
    <t>SL INDUSTRIES INC</t>
  </si>
  <si>
    <t>HARRIS &amp; HARRIS GROUP INC /NY/</t>
  </si>
  <si>
    <t>OHIO VALLEY BANC CORP</t>
  </si>
  <si>
    <t>AVID TECHNOLOGY  INC.</t>
  </si>
  <si>
    <t>MANNKIND CORP</t>
  </si>
  <si>
    <t>CIM Commercial Trust Corp</t>
  </si>
  <si>
    <t>TITAN PHARMACEUTICALS INC</t>
  </si>
  <si>
    <t>MEDIFAST INC</t>
  </si>
  <si>
    <t>Black Diamond  Inc.</t>
  </si>
  <si>
    <t>DSP GROUP INC /DE/</t>
  </si>
  <si>
    <t>AROTECH CORP</t>
  </si>
  <si>
    <t>NN INC</t>
  </si>
  <si>
    <t>PENN NATIONAL GAMING INC</t>
  </si>
  <si>
    <t>BBX CAPITAL CORP</t>
  </si>
  <si>
    <t>ITT EDUCATIONAL SERVICES INC</t>
  </si>
  <si>
    <t>FLUSHING FINANCIAL CORP</t>
  </si>
  <si>
    <t>GUIDED THERAPEUTICS INC</t>
  </si>
  <si>
    <t>CONSOLIDATED WATER CO LTD</t>
  </si>
  <si>
    <t>Your Community Bankshares  Inc.</t>
  </si>
  <si>
    <t>ACACIA RESEARCH CORP</t>
  </si>
  <si>
    <t>IMAGEWARE SYSTEMS INC</t>
  </si>
  <si>
    <t>CIVISTA BANCSHARES  INC.</t>
  </si>
  <si>
    <t>KVH INDUSTRIES INC \DE\</t>
  </si>
  <si>
    <t>TELETECH HOLDINGS INC</t>
  </si>
  <si>
    <t>SUN BANCORP INC /NJ/</t>
  </si>
  <si>
    <t>StarTek  Inc.</t>
  </si>
  <si>
    <t>FLAGSTAR BANCORP INC</t>
  </si>
  <si>
    <t>RADIO ONE  INC.</t>
  </si>
  <si>
    <t>STONERIDGE INC</t>
  </si>
  <si>
    <t>INOVIO PHARMACEUTICALS  INC.</t>
  </si>
  <si>
    <t>DATALINK CORP</t>
  </si>
  <si>
    <t>FIRST BANCORP /PR/</t>
  </si>
  <si>
    <t>SUNESIS PHARMACEUTICALS INC</t>
  </si>
  <si>
    <t>WESTMORELAND COAL Co</t>
  </si>
  <si>
    <t>FEDERATED NATIONAL HOLDING CO</t>
  </si>
  <si>
    <t>GOLDEN ENTERTAINMENT  INC.</t>
  </si>
  <si>
    <t>CONTANGO OIL &amp; GAS CO</t>
  </si>
  <si>
    <t>PACIFIC CONTINENTAL CORP</t>
  </si>
  <si>
    <t>FARMERS &amp; MERCHANTS BANCORP</t>
  </si>
  <si>
    <t>CUMBERLAND PHARMACEUTICALS INC</t>
  </si>
  <si>
    <t>PEOPLES BANCORP OF NORTH CAROLINA INC</t>
  </si>
  <si>
    <t>CUI Global  Inc.</t>
  </si>
  <si>
    <t>PACIFIC MERCANTILE BANCORP</t>
  </si>
  <si>
    <t>ORASURE TECHNOLOGIES INC</t>
  </si>
  <si>
    <t>VOCERA COMMUNICATIONS  INC.</t>
  </si>
  <si>
    <t>TRAVELZOO INC</t>
  </si>
  <si>
    <t>LANDMARK BANCORP INC</t>
  </si>
  <si>
    <t>APPLIED OPTOELECTRONICS  INC.</t>
  </si>
  <si>
    <t>Mast Therapeutics  Inc.</t>
  </si>
  <si>
    <t>COMPUTER PROGRAMS &amp; SYSTEMS INC</t>
  </si>
  <si>
    <t>NATURAL RESOURCE PARTNERS LP</t>
  </si>
  <si>
    <t>Sunworks  Inc.</t>
  </si>
  <si>
    <t>BCB BANCORP INC</t>
  </si>
  <si>
    <t>REXAHN PHARMACEUTICALS  INC.</t>
  </si>
  <si>
    <t>STEMLINE THERAPEUTICS INC</t>
  </si>
  <si>
    <t>PLY GEM HOLDINGS INC</t>
  </si>
  <si>
    <t>XERIUM TECHNOLOGIES INC</t>
  </si>
  <si>
    <t>Inogen Inc</t>
  </si>
  <si>
    <t>Anthera Pharmaceuticals Inc</t>
  </si>
  <si>
    <t>Kandi Technologies Group  Inc.</t>
  </si>
  <si>
    <t>JAMBA  INC.</t>
  </si>
  <si>
    <t>Zumiez Inc</t>
  </si>
  <si>
    <t>HEXION INC.</t>
  </si>
  <si>
    <t>NTELOS HOLDINGS CORP.</t>
  </si>
  <si>
    <t>eHealth  Inc.</t>
  </si>
  <si>
    <t>ChemoCentryx  Inc.</t>
  </si>
  <si>
    <t>Fuel Systems Solutions  Inc.</t>
  </si>
  <si>
    <t>Morgans Hotel Group Co.</t>
  </si>
  <si>
    <t>Nuveen Diversified Commodity Fund</t>
  </si>
  <si>
    <t>CorEnergy Infrastructure Trust  Inc.</t>
  </si>
  <si>
    <t>Genesis Healthcare  Inc.</t>
  </si>
  <si>
    <t>ROSETTA STONE INC</t>
  </si>
  <si>
    <t>Snap Interactive  Inc</t>
  </si>
  <si>
    <t>Neuralstem  Inc.</t>
  </si>
  <si>
    <t>BELLICUM PHARMACEUTICALS  INC</t>
  </si>
  <si>
    <t>PROTEON THERAPEUTICS INC</t>
  </si>
  <si>
    <t>MV Oil Trust</t>
  </si>
  <si>
    <t>TRAVELCENTERS OF AMERICA LLC</t>
  </si>
  <si>
    <t>Cellular Biomedicine Group  Inc.</t>
  </si>
  <si>
    <t>VERACYTE  INC.</t>
  </si>
  <si>
    <t>Pzena Investment Management  Inc.</t>
  </si>
  <si>
    <t>Nuverra Environmental Solutions  Inc.</t>
  </si>
  <si>
    <t>AQUINOX PHARMACEUTICALS  INC</t>
  </si>
  <si>
    <t>Rubicon Technology  Inc.</t>
  </si>
  <si>
    <t>Oncothyreon Inc.</t>
  </si>
  <si>
    <t>Westmoreland Resource Partners  LP</t>
  </si>
  <si>
    <t>Sterling Real Estate Trust</t>
  </si>
  <si>
    <t>FSP 303 East Wacker Drive Corp.</t>
  </si>
  <si>
    <t>GigOptix  Inc.</t>
  </si>
  <si>
    <t>Diligent Corp</t>
  </si>
  <si>
    <t>HOME BANCORP  INC.</t>
  </si>
  <si>
    <t>Change Healthcare Holdings  Inc.</t>
  </si>
  <si>
    <t>Territorial Bancorp Inc.</t>
  </si>
  <si>
    <t>Live Oak Bancshares  Inc.</t>
  </si>
  <si>
    <t>Renewable Energy Group  Inc.</t>
  </si>
  <si>
    <t>First Community Financial Partners  Inc.</t>
  </si>
  <si>
    <t>Rocket Fuel Inc.</t>
  </si>
  <si>
    <t>PREFERRED APARTMENT COMMUNITIES INC</t>
  </si>
  <si>
    <t>KBS Real Estate Investment Trust III  Inc.</t>
  </si>
  <si>
    <t>AOXIN TIANLI GROUP  INC.</t>
  </si>
  <si>
    <t>NL One Corp</t>
  </si>
  <si>
    <t>EMERGENT CAPITAL  INC.</t>
  </si>
  <si>
    <t>Global Indemnity plc</t>
  </si>
  <si>
    <t>Diversified Resources Inc.</t>
  </si>
  <si>
    <t>LINDBLAD EXPEDITIONS HOLDINGS  INC.</t>
  </si>
  <si>
    <t>Akebia Therapeutics  Inc.</t>
  </si>
  <si>
    <t>ASB Bancorp Inc</t>
  </si>
  <si>
    <t>Nuveen Long/Short Commodity Total Return Fund</t>
  </si>
  <si>
    <t>Manning &amp; Napier  Inc.</t>
  </si>
  <si>
    <t>BankGuam Holding Co</t>
  </si>
  <si>
    <t>BioSig Technologies  Inc.</t>
  </si>
  <si>
    <t>CION Investment Corp</t>
  </si>
  <si>
    <t>CU Bancorp</t>
  </si>
  <si>
    <t>EKSO BIONICS HOLDINGS  INC.</t>
  </si>
  <si>
    <t>Owens Realty Mortgage  Inc.</t>
  </si>
  <si>
    <t>Ignyta  Inc.</t>
  </si>
  <si>
    <t>HEMISPHERE MEDIA GROUP  INC.</t>
  </si>
  <si>
    <t>UCP  Inc.</t>
  </si>
  <si>
    <t>TriplePoint Venture Growth BDC Corp.</t>
  </si>
  <si>
    <t>Party City Holdco Inc.</t>
  </si>
  <si>
    <t>Tribune Publishing Co</t>
  </si>
  <si>
    <t>Smart Server  Inc</t>
  </si>
  <si>
    <t>Moelis &amp; Co</t>
  </si>
  <si>
    <t>Minerva Neurosciences  Inc.</t>
  </si>
  <si>
    <t>CB Financial Services  Inc.</t>
  </si>
  <si>
    <t>Spark Therapeutics  Inc.</t>
  </si>
  <si>
    <t>Carey Watermark Investors 2 Inc</t>
  </si>
  <si>
    <t>Seres Therapeutics  Inc.</t>
  </si>
  <si>
    <t>Freshpet  Inc.</t>
  </si>
  <si>
    <t>Corporate Capital Trust II</t>
  </si>
  <si>
    <t>Zynerba Pharmaceuticals  Inc.</t>
  </si>
  <si>
    <t>Tri-State Generation &amp; Transmission Association  Inc.</t>
  </si>
  <si>
    <t>Sequential Brands Group  Inc.</t>
  </si>
  <si>
    <t>NATURES SUNSHINE PRODUCTS INC</t>
  </si>
  <si>
    <t>CONNECTICUT WATER SERVICE INC / CT</t>
  </si>
  <si>
    <t>DUCOMMUN INC /DE/</t>
  </si>
  <si>
    <t>TENAX THERAPEUTICS  INC.</t>
  </si>
  <si>
    <t>COMMUNITY TRUST BANCORP INC /KY/</t>
  </si>
  <si>
    <t>ELECTRO SENSORS INC</t>
  </si>
  <si>
    <t>HARTE HANKS INC</t>
  </si>
  <si>
    <t>AMERICAN EXPRESS CREDIT CORP</t>
  </si>
  <si>
    <t>MYERS INDUSTRIES INC</t>
  </si>
  <si>
    <t>NOBLE ROMANS INC</t>
  </si>
  <si>
    <t>ISRAMCO INC</t>
  </si>
  <si>
    <t>NORDSTROM INC</t>
  </si>
  <si>
    <t>Trinity Place Holdings Inc.</t>
  </si>
  <si>
    <t>MERCHANTS BANCSHARES INC</t>
  </si>
  <si>
    <t>CADIZ INC</t>
  </si>
  <si>
    <t>SEACOAST BANKING CORP OF FLORIDA</t>
  </si>
  <si>
    <t>BAR HARBOR BANKSHARES</t>
  </si>
  <si>
    <t>QNB CORP</t>
  </si>
  <si>
    <t>PARK OHIO HOLDINGS CORP</t>
  </si>
  <si>
    <t>PATRICK INDUSTRIES INC</t>
  </si>
  <si>
    <t>FIRST BANCORP /NC/</t>
  </si>
  <si>
    <t>VICAL INC</t>
  </si>
  <si>
    <t>INTER PARFUMS INC</t>
  </si>
  <si>
    <t>PICO HOLDINGS INC /NEW</t>
  </si>
  <si>
    <t>REPUBLIC FIRST BANCORP INC</t>
  </si>
  <si>
    <t>ISABELLA BANK CORP</t>
  </si>
  <si>
    <t>BRIDGE BANCORP INC</t>
  </si>
  <si>
    <t>CAROLINA FINANCIAL CORP</t>
  </si>
  <si>
    <t>STERLING CONSTRUCTION CO INC</t>
  </si>
  <si>
    <t>BIOSPECIFICS TECHNOLOGIES CORP</t>
  </si>
  <si>
    <t>POWERSECURE INTERNATIONAL  INC.</t>
  </si>
  <si>
    <t>WILSON BANK HOLDING CO</t>
  </si>
  <si>
    <t>SAGA COMMUNICATIONS INC</t>
  </si>
  <si>
    <t>Vericel Corp</t>
  </si>
  <si>
    <t>Air Transport Services Group  Inc.</t>
  </si>
  <si>
    <t>REPROS THERAPEUTICS INC.</t>
  </si>
  <si>
    <t>INNODATA INC</t>
  </si>
  <si>
    <t>3D SYSTEMS CORP</t>
  </si>
  <si>
    <t>MIDDLEBURG FINANCIAL CORP</t>
  </si>
  <si>
    <t>ANADIGICS INC</t>
  </si>
  <si>
    <t>DIME COMMUNITY BANCSHARES INC</t>
  </si>
  <si>
    <t>BEAR STATE FINANCIAL  INC.</t>
  </si>
  <si>
    <t>TRANSACT TECHNOLOGIES INC</t>
  </si>
  <si>
    <t>EDGEWATER TECHNOLOGY INC/DE/</t>
  </si>
  <si>
    <t>WILLIS LEASE FINANCE CORP</t>
  </si>
  <si>
    <t>UNIVERSAL ELECTRONICS INC</t>
  </si>
  <si>
    <t>FORRESTER RESEARCH  INC.</t>
  </si>
  <si>
    <t>EARTHSTONE ENERGY INC</t>
  </si>
  <si>
    <t>CORE MOLDING TECHNOLOGIES INC</t>
  </si>
  <si>
    <t>SHORE BANCSHARES INC</t>
  </si>
  <si>
    <t>FIRST NATIONAL COMMUNITY BANCORP INC</t>
  </si>
  <si>
    <t>WAYNE SAVINGS BANCSHARES INC /DE/</t>
  </si>
  <si>
    <t>AEROCENTURY CORP</t>
  </si>
  <si>
    <t>RAIT Financial Trust</t>
  </si>
  <si>
    <t>SALEM MEDIA GROUP  INC. /DE/</t>
  </si>
  <si>
    <t>AXT INC</t>
  </si>
  <si>
    <t>IPASS INC</t>
  </si>
  <si>
    <t>PEOPLES FINANCIAL SERVICES CORP.</t>
  </si>
  <si>
    <t>KRATOS DEFENSE &amp; SECURITY SOLUTIONS  INC.</t>
  </si>
  <si>
    <t>NATURAL GAS SERVICES GROUP INC</t>
  </si>
  <si>
    <t>Mattersight Corp</t>
  </si>
  <si>
    <t>WILLIAM LYON HOMES</t>
  </si>
  <si>
    <t>Quotient Technology Inc.</t>
  </si>
  <si>
    <t>MBT FINANCIAL CORP</t>
  </si>
  <si>
    <t>ALLIANCE FIBER OPTIC PRODUCTS INC</t>
  </si>
  <si>
    <t>SIERRA BANCORP</t>
  </si>
  <si>
    <t>AMES NATIONAL CORP</t>
  </si>
  <si>
    <t>CROSS COUNTRY HEALTHCARE INC</t>
  </si>
  <si>
    <t>ADVISORY BOARD CO</t>
  </si>
  <si>
    <t>WESTFIELD FINANCIAL INC</t>
  </si>
  <si>
    <t>REPUBLIC AIRWAYS HOLDINGS INC</t>
  </si>
  <si>
    <t>NORTHRIM BANCORP INC</t>
  </si>
  <si>
    <t>BOINGO WIRELESS INC</t>
  </si>
  <si>
    <t>CEVA INC</t>
  </si>
  <si>
    <t>FIVE PRIME THERAPEUTICS INC</t>
  </si>
  <si>
    <t>PROVIDENCE SERVICE CORP</t>
  </si>
  <si>
    <t>OLD LINE BANCSHARES INC</t>
  </si>
  <si>
    <t>SECOND SIGHT MEDICAL PRODUCTS INC</t>
  </si>
  <si>
    <t>INFOSONICS Corp</t>
  </si>
  <si>
    <t>Ocera Therapeutics  Inc.</t>
  </si>
  <si>
    <t>General Moly  Inc</t>
  </si>
  <si>
    <t>Cellectar Biosciences  Inc.</t>
  </si>
  <si>
    <t>OTELCO INC.</t>
  </si>
  <si>
    <t>Stereotaxis  Inc.</t>
  </si>
  <si>
    <t>Commercial Vehicle Group  Inc.</t>
  </si>
  <si>
    <t>TechTarget Inc</t>
  </si>
  <si>
    <t>Calamos Asset Management  Inc. /DE/</t>
  </si>
  <si>
    <t>PACIFIC BIOSCIENCES OF CALIFORNIA  INC.</t>
  </si>
  <si>
    <t>JMP GROUP LLC</t>
  </si>
  <si>
    <t>SYDYS CORP</t>
  </si>
  <si>
    <t>SPARK NETWORKS INC</t>
  </si>
  <si>
    <t>Federal Home Loan Bank of San Francisco</t>
  </si>
  <si>
    <t>Community Bankers Trust Corp</t>
  </si>
  <si>
    <t>BlackRock Capital Investment Corp</t>
  </si>
  <si>
    <t>PHARMATHENE  INC</t>
  </si>
  <si>
    <t>Federal Home Loan Bank of Indianapolis</t>
  </si>
  <si>
    <t>Cara Therapeutics  Inc.</t>
  </si>
  <si>
    <t>Ascent Solar Technologies  Inc.</t>
  </si>
  <si>
    <t>PGT  Inc.</t>
  </si>
  <si>
    <t>CHICOPEE BANCORP  INC.</t>
  </si>
  <si>
    <t>Everyday Health  Inc.</t>
  </si>
  <si>
    <t>Monarch Financial Holdings  Inc.</t>
  </si>
  <si>
    <t>Sucampo Pharmaceuticals  Inc.</t>
  </si>
  <si>
    <t>YADKIN FINANCIAL Corp</t>
  </si>
  <si>
    <t>DAKOTA PLAINS HOLDINGS  INC.</t>
  </si>
  <si>
    <t>ATHERSYS  INC / NEW</t>
  </si>
  <si>
    <t>U.S. Auto Parts Network  Inc.</t>
  </si>
  <si>
    <t>Conatus Pharmaceuticals Inc.</t>
  </si>
  <si>
    <t>Actinium Pharmaceuticals  Inc.</t>
  </si>
  <si>
    <t>Diversified Restaurant Holdings  Inc.</t>
  </si>
  <si>
    <t>First Trinity Financial CORP</t>
  </si>
  <si>
    <t>United States Gasoline Fund  LP</t>
  </si>
  <si>
    <t>ACUCELA INC.</t>
  </si>
  <si>
    <t>NanoString Technologies Inc</t>
  </si>
  <si>
    <t>Bank of Marin Bancorp</t>
  </si>
  <si>
    <t>United States 12 Month Oil Fund  LP</t>
  </si>
  <si>
    <t>Ellington Financial LLC</t>
  </si>
  <si>
    <t>Flexion Therapeutics Inc</t>
  </si>
  <si>
    <t>Trident Brands Inc</t>
  </si>
  <si>
    <t>Lion Biotechnologies  Inc.</t>
  </si>
  <si>
    <t>ASSEMBLY BIOSCIENCES  INC.</t>
  </si>
  <si>
    <t>Ocean Shore Holding Co.</t>
  </si>
  <si>
    <t>CSI Compressco LP</t>
  </si>
  <si>
    <t>Western Asset Mortgage Capital Corp</t>
  </si>
  <si>
    <t>INDEPENDENCE REALTY TRUST  INC</t>
  </si>
  <si>
    <t>Addus HomeCare Corp</t>
  </si>
  <si>
    <t>Sunrun Inc.</t>
  </si>
  <si>
    <t>United States Brent Oil Fund  LP</t>
  </si>
  <si>
    <t>United States Commodity Index Funds Trust</t>
  </si>
  <si>
    <t>FXCM Inc.</t>
  </si>
  <si>
    <t>SI Financial Group  Inc.</t>
  </si>
  <si>
    <t>AMERICAN REALTY CAPITAL - RETAIL CENTERS OF AMERICA  INC.</t>
  </si>
  <si>
    <t>FS Energy &amp; Power Fund</t>
  </si>
  <si>
    <t>First Connecticut Bancorp  Inc.</t>
  </si>
  <si>
    <t>HomeStreet  Inc.</t>
  </si>
  <si>
    <t>Trinseo S.A.</t>
  </si>
  <si>
    <t>Enduro Royalty Trust</t>
  </si>
  <si>
    <t>FIRST BUSINESS FINANCIAL SERVICES  INC.</t>
  </si>
  <si>
    <t>BSB Bancorp  Inc.</t>
  </si>
  <si>
    <t>Corindus Vascular Robotics  Inc.</t>
  </si>
  <si>
    <t>San Lotus Holding Inc</t>
  </si>
  <si>
    <t>Cheviot Financial Corp.</t>
  </si>
  <si>
    <t>NV5 Global  Inc.</t>
  </si>
  <si>
    <t>HMS INCOME FUND  INC.</t>
  </si>
  <si>
    <t>Whiting USA Trust II</t>
  </si>
  <si>
    <t>Carlyle GMS Finance  Inc.</t>
  </si>
  <si>
    <t>Future Healthcare of America</t>
  </si>
  <si>
    <t>Healthcare Trust  Inc.</t>
  </si>
  <si>
    <t>NF Investment Corp.</t>
  </si>
  <si>
    <t>Realty Finance Trust  Inc.</t>
  </si>
  <si>
    <t>Gulf Coast Ultra Deep Royalty Trust</t>
  </si>
  <si>
    <t>Ciner Resources LP</t>
  </si>
  <si>
    <t>FTD Companies  Inc.</t>
  </si>
  <si>
    <t>FS Investment Corp III</t>
  </si>
  <si>
    <t>Theravance Biopharma  Inc.</t>
  </si>
  <si>
    <t>Arc Logistics Partners LP</t>
  </si>
  <si>
    <t>APX Group Holdings  Inc.</t>
  </si>
  <si>
    <t>Egalet Corp</t>
  </si>
  <si>
    <t>NexPoint Capital  Inc.</t>
  </si>
  <si>
    <t>RIGHTSIDE GROUP  LTD.</t>
  </si>
  <si>
    <t>Platform Specialty Products Corp</t>
  </si>
  <si>
    <t>Sizmek Inc.</t>
  </si>
  <si>
    <t>AgroFresh Solutions  Inc.</t>
  </si>
  <si>
    <t>PARAGON OFFSHORE PLC</t>
  </si>
  <si>
    <t>Q BioMed Inc.</t>
  </si>
  <si>
    <t>Blueprint Medicines Corp</t>
  </si>
  <si>
    <t>Meridian Bancorp  Inc.</t>
  </si>
  <si>
    <t>Investar Holding Corp</t>
  </si>
  <si>
    <t>El Pollo Loco Holdings  Inc.</t>
  </si>
  <si>
    <t>National Commerce Corp</t>
  </si>
  <si>
    <t>Seritage Growth Properties</t>
  </si>
  <si>
    <t>Bojangles'  Inc.</t>
  </si>
  <si>
    <t>National Western Life Group  Inc.</t>
  </si>
  <si>
    <t>Surgery Partners  Inc.</t>
  </si>
  <si>
    <t>Global Partner Acquisition Corp.</t>
  </si>
  <si>
    <t>BIM HOMES  INC.</t>
  </si>
  <si>
    <t>ACME UNITED CORP</t>
  </si>
  <si>
    <t>ADAMS RESOURCES &amp; ENERGY  INC.</t>
  </si>
  <si>
    <t>COMMUNICATIONS SYSTEMS INC</t>
  </si>
  <si>
    <t>TARGET CORP</t>
  </si>
  <si>
    <t>DIODES INC /DEL/</t>
  </si>
  <si>
    <t>McEwen Mining Inc.</t>
  </si>
  <si>
    <t>DYNAMIC MATERIALS CORP</t>
  </si>
  <si>
    <t>LOJACK CORP</t>
  </si>
  <si>
    <t>OLD SECOND BANCORP INC</t>
  </si>
  <si>
    <t>GORMAN RUPP CO</t>
  </si>
  <si>
    <t>VALHI INC /DE/</t>
  </si>
  <si>
    <t>TRECORA RESOURCES</t>
  </si>
  <si>
    <t>UNITED COMMUNITY FINANCIAL CORP</t>
  </si>
  <si>
    <t>Steel Excel Inc.</t>
  </si>
  <si>
    <t>FARMERS CAPITAL BANK CORP</t>
  </si>
  <si>
    <t>UNITED SECURITY BANCSHARES INC</t>
  </si>
  <si>
    <t>STAAR SURGICAL CO</t>
  </si>
  <si>
    <t>MAINSOURCE FINANCIAL GROUP</t>
  </si>
  <si>
    <t>INVESTORS TITLE CO</t>
  </si>
  <si>
    <t>BEL FUSE INC /NJ</t>
  </si>
  <si>
    <t>OLD POINT FINANCIAL CORP</t>
  </si>
  <si>
    <t>NEW ENGLAND REALTY ASSOCIATES LIMITED PARTNERSHIP</t>
  </si>
  <si>
    <t>ICAD INC</t>
  </si>
  <si>
    <t>CAMDEN NATIONAL CORP</t>
  </si>
  <si>
    <t>BANCFIRST CORP /OK/</t>
  </si>
  <si>
    <t>CHEMUNG FINANCIAL CORP</t>
  </si>
  <si>
    <t>CommunityOne Bancorp</t>
  </si>
  <si>
    <t>First Bancorp  Inc /ME/</t>
  </si>
  <si>
    <t>SB FINANCIAL GROUP  INC.</t>
  </si>
  <si>
    <t>HALLADOR ENERGY CO</t>
  </si>
  <si>
    <t>EMC CORP</t>
  </si>
  <si>
    <t>MARTEN TRANSPORT LTD</t>
  </si>
  <si>
    <t>CYTRX CORP</t>
  </si>
  <si>
    <t>PREFORMED LINE PRODUCTS CO</t>
  </si>
  <si>
    <t>BRYN MAWR BANK CORP</t>
  </si>
  <si>
    <t>BIOLASE  INC</t>
  </si>
  <si>
    <t>JONES FINANCIAL COMPANIES LLLP</t>
  </si>
  <si>
    <t>INTERNATIONAL AUTOMATED SYSTEMS INC</t>
  </si>
  <si>
    <t>FIDELITY SOUTHERN CORP</t>
  </si>
  <si>
    <t>ORRSTOWN FINANCIAL SERVICES INC</t>
  </si>
  <si>
    <t>PACIFIC OFFICE PROPERTIES TRUST  INC.</t>
  </si>
  <si>
    <t>RESOURCE AMERICA  INC.</t>
  </si>
  <si>
    <t>PROGENICS PHARMACEUTICALS INC</t>
  </si>
  <si>
    <t>HUGOTON ROYALTY TRUST</t>
  </si>
  <si>
    <t>ARTESIAN RESOURCES CORP</t>
  </si>
  <si>
    <t>Neonode  Inc</t>
  </si>
  <si>
    <t>SCICLONE PHARMACEUTICALS INC</t>
  </si>
  <si>
    <t>CROSS TIMBERS ROYALTY TRUST</t>
  </si>
  <si>
    <t>VIAD CORP</t>
  </si>
  <si>
    <t>INTRICON CORP</t>
  </si>
  <si>
    <t>QCR HOLDINGS INC</t>
  </si>
  <si>
    <t>MONARCH CASINO &amp; RESORT INC</t>
  </si>
  <si>
    <t>CENTURY CASINOS INC /CO/</t>
  </si>
  <si>
    <t>UFP TECHNOLOGIES INC</t>
  </si>
  <si>
    <t>AGREE REALTY CORP</t>
  </si>
  <si>
    <t>HEARTLAND FINANCIAL USA INC</t>
  </si>
  <si>
    <t>HMN FINANCIAL INC</t>
  </si>
  <si>
    <t>REPUBLIC BANCORP INC /KY/</t>
  </si>
  <si>
    <t>HUDSON TECHNOLOGIES INC /NY</t>
  </si>
  <si>
    <t>MATTSON TECHNOLOGY INC</t>
  </si>
  <si>
    <t>WMIH CORP.</t>
  </si>
  <si>
    <t>VOLITIONRX LTD</t>
  </si>
  <si>
    <t>SUPERIOR INDUSTRIES INTERNATIONAL INC</t>
  </si>
  <si>
    <t>AUTOBYTEL INC</t>
  </si>
  <si>
    <t>PERNIX THERAPEUTICS HOLDINGS  INC.</t>
  </si>
  <si>
    <t>GULF ISLAND FABRICATION INC</t>
  </si>
  <si>
    <t>PRUCO LIFE INSURANCE OF NEW JERSEY</t>
  </si>
  <si>
    <t>HERITAGE FINANCIAL CORP /WA/</t>
  </si>
  <si>
    <t>GETTY REALTY CORP /MD/</t>
  </si>
  <si>
    <t>CUMULUS MEDIA INC</t>
  </si>
  <si>
    <t>WEYCO GROUP INC</t>
  </si>
  <si>
    <t>HEIDRICK &amp; STRUGGLES INTERNATIONAL INC</t>
  </si>
  <si>
    <t>KINGSWAY FINANCIAL SERVICES INC</t>
  </si>
  <si>
    <t>CORCEPT THERAPEUTICS INC</t>
  </si>
  <si>
    <t>BIODELIVERY SCIENCES INTERNATIONAL INC</t>
  </si>
  <si>
    <t>FIRST NORTHERN COMMUNITY BANCORP</t>
  </si>
  <si>
    <t>LEMAITRE VASCULAR INC</t>
  </si>
  <si>
    <t>US GEOTHERMAL INC</t>
  </si>
  <si>
    <t>NEWCASTLE INVESTMENT CORP</t>
  </si>
  <si>
    <t>THRESHOLD PHARMACEUTICALS INC</t>
  </si>
  <si>
    <t>Trovagene  Inc.</t>
  </si>
  <si>
    <t>ENERNOC INC</t>
  </si>
  <si>
    <t>KRONOS WORLDWIDE INC</t>
  </si>
  <si>
    <t>TICC Capital Corp.</t>
  </si>
  <si>
    <t>LINCOLN EDUCATIONAL SERVICES CORP</t>
  </si>
  <si>
    <t>National Interstate CORP</t>
  </si>
  <si>
    <t>Manitex International  Inc.</t>
  </si>
  <si>
    <t>OncoMed Pharmaceuticals Inc</t>
  </si>
  <si>
    <t>Jones Lang LaSalle Income Property Trust  Inc.</t>
  </si>
  <si>
    <t>TransMontaigne Partners L.P.</t>
  </si>
  <si>
    <t>IRADIMED CORP</t>
  </si>
  <si>
    <t>Federal Home Loan Bank of Topeka</t>
  </si>
  <si>
    <t>TrueCar  Inc.</t>
  </si>
  <si>
    <t>Federal Home Loan Bank of Pittsburgh</t>
  </si>
  <si>
    <t>Federal Home Loan Bank of Atlanta</t>
  </si>
  <si>
    <t>Resource Capital Corp.</t>
  </si>
  <si>
    <t>FutureFuel Corp.</t>
  </si>
  <si>
    <t>CANCER GENETICS  INC</t>
  </si>
  <si>
    <t>INNERWORKINGS INC</t>
  </si>
  <si>
    <t>Affinion Group  Inc.</t>
  </si>
  <si>
    <t>ORBCOMM Inc.</t>
  </si>
  <si>
    <t>Information Services Group Inc.</t>
  </si>
  <si>
    <t>HISTOGENICS CORP</t>
  </si>
  <si>
    <t>OCULAR THERAPEUTIX  INC</t>
  </si>
  <si>
    <t>Dicerna Pharmaceuticals Inc</t>
  </si>
  <si>
    <t>First Financial Northwest  Inc.</t>
  </si>
  <si>
    <t>Cerulean Pharma Inc.</t>
  </si>
  <si>
    <t>Evoke Pharma Inc</t>
  </si>
  <si>
    <t>Tokai Pharmaceuticals Inc</t>
  </si>
  <si>
    <t>Affinion Group Holdings  Inc.</t>
  </si>
  <si>
    <t>Vringo Inc</t>
  </si>
  <si>
    <t>YuMe Inc</t>
  </si>
  <si>
    <t>Gastar Exploration Inc.</t>
  </si>
  <si>
    <t>CASTLIGHT HEALTH  INC.</t>
  </si>
  <si>
    <t>TUBEMOGUL INC</t>
  </si>
  <si>
    <t>Willbros Group  Inc.\NEW\</t>
  </si>
  <si>
    <t>Griffin Capital Essential Asset REIT  Inc.</t>
  </si>
  <si>
    <t>2U  Inc.</t>
  </si>
  <si>
    <t>THL Credit  Inc.</t>
  </si>
  <si>
    <t>Accretive Health  Inc.</t>
  </si>
  <si>
    <t>Pfenex Inc.</t>
  </si>
  <si>
    <t>Jacksonville Bancorp  Inc.</t>
  </si>
  <si>
    <t>ERICKSON INC.</t>
  </si>
  <si>
    <t>REVA Medical  Inc.</t>
  </si>
  <si>
    <t>Invitae Corp</t>
  </si>
  <si>
    <t>RMG Networks Holding Corp</t>
  </si>
  <si>
    <t>Square  Inc.</t>
  </si>
  <si>
    <t>UNIVERSAL AMERICAN CORP.</t>
  </si>
  <si>
    <t>Lumos Networks Corp.</t>
  </si>
  <si>
    <t>WireCo WorldGroup Inc.</t>
  </si>
  <si>
    <t>CHESAPEAKE GRANITE WASH TRUST</t>
  </si>
  <si>
    <t>Sprague Resources LP</t>
  </si>
  <si>
    <t>Wheeler Real Estate Investment Trust  Inc.</t>
  </si>
  <si>
    <t>ZAIS Financial Corp.</t>
  </si>
  <si>
    <t>Lipocine Inc.</t>
  </si>
  <si>
    <t>Silvercrest Asset Management Group Inc.</t>
  </si>
  <si>
    <t>Sientra  Inc.</t>
  </si>
  <si>
    <t>INDUSTRIAL PROPERTY TRUST INC.</t>
  </si>
  <si>
    <t>Rapid7  Inc.</t>
  </si>
  <si>
    <t>Ellington Residential Mortgage REIT</t>
  </si>
  <si>
    <t>ZAIS Group Holdings  Inc.</t>
  </si>
  <si>
    <t>First Internet Bancorp</t>
  </si>
  <si>
    <t>PENNYMAC FINANCIAL SERVICES  INC.</t>
  </si>
  <si>
    <t>Fantex  Inc.</t>
  </si>
  <si>
    <t>Pulmatrix  Inc.</t>
  </si>
  <si>
    <t>J.G. Wentworth Co</t>
  </si>
  <si>
    <t>Fortress Transportation &amp; Infrastructure Investors LLC</t>
  </si>
  <si>
    <t>AP Gaming Holdco  Inc.</t>
  </si>
  <si>
    <t>Griffin Capital Essential Asset REIT II  Inc.</t>
  </si>
  <si>
    <t>Blue Buffalo Pet Products  Inc.</t>
  </si>
  <si>
    <t>USD Partners LP</t>
  </si>
  <si>
    <t>State National Companies  Inc.</t>
  </si>
  <si>
    <t>MaxPoint Interactive  Inc.</t>
  </si>
  <si>
    <t>Xenia Hotels &amp; Resorts  Inc.</t>
  </si>
  <si>
    <t>National Storage Affiliates Trust</t>
  </si>
  <si>
    <t>James River Group Holdings  Ltd.</t>
  </si>
  <si>
    <t>Care Capital Properties  Inc.</t>
  </si>
  <si>
    <t>GRAYBAR ELECTRIC CO INC</t>
  </si>
  <si>
    <t>CRAWFORD &amp; CO</t>
  </si>
  <si>
    <t>TRICO BANCSHARES /</t>
  </si>
  <si>
    <t>Fibrocell Science  Inc.</t>
  </si>
  <si>
    <t>ATRION CORP</t>
  </si>
  <si>
    <t>UTAH MEDICAL PRODUCTS INC</t>
  </si>
  <si>
    <t>FARMERS NATIONAL BANC CORP /OH/</t>
  </si>
  <si>
    <t>COLONY BANKCORP INC</t>
  </si>
  <si>
    <t>PENNS WOODS BANCORP INC</t>
  </si>
  <si>
    <t>ARROW FINANCIAL CORP</t>
  </si>
  <si>
    <t>NL INDUSTRIES INC</t>
  </si>
  <si>
    <t>AMC ENTERTAINMENT INC</t>
  </si>
  <si>
    <t>CITIZENS FINANCIAL SERVICES INC</t>
  </si>
  <si>
    <t>AUBURN NATIONAL BANCORPORATION  INC</t>
  </si>
  <si>
    <t>PRUCO LIFE INSURANCE CO</t>
  </si>
  <si>
    <t>RESEARCH FRONTIERS INC</t>
  </si>
  <si>
    <t>PRUCO LIFE VARIABLE CONTRACT REAL PROPERTY ACCOUNT</t>
  </si>
  <si>
    <t>Alliance HealthCare Services  Inc</t>
  </si>
  <si>
    <t>RAND CAPITAL CORP</t>
  </si>
  <si>
    <t>ARRHYTHMIA RESEARCH TECHNOLOGY INC /DE/</t>
  </si>
  <si>
    <t>HALLMARK FINANCIAL SERVICES INC</t>
  </si>
  <si>
    <t>PRUCO LIFE OF NEW JERSEY VARIABLE CONTRACT REAL PROPERTY ACC</t>
  </si>
  <si>
    <t>WILLAMETTE VALLEY VINEYARDS INC</t>
  </si>
  <si>
    <t>NORTHLAND CABLE PROPERTIES EIGHT LIMITED PARTNERSHIP</t>
  </si>
  <si>
    <t>FEDERAL AGRICULTURAL MORTGAGE CORP</t>
  </si>
  <si>
    <t>PRUDENTIAL VARIABLE CONTRACT REAL PROPERTY ACCOUNT</t>
  </si>
  <si>
    <t>ADVANCED ENVIRONMENTAL RECYCLING TECHNOLOGIES INC</t>
  </si>
  <si>
    <t>ZIX CORP</t>
  </si>
  <si>
    <t>COMMUNITY FINANCIAL CORP /MD/</t>
  </si>
  <si>
    <t>IDERA PHARMACEUTICALS  INC.</t>
  </si>
  <si>
    <t>PRUDENTIAL ANNUITIES LIFE ASSURANCE CORP/CT</t>
  </si>
  <si>
    <t>GERON CORP</t>
  </si>
  <si>
    <t>GLEN BURNIE BANCORP</t>
  </si>
  <si>
    <t>Synthetic Biologics  Inc.</t>
  </si>
  <si>
    <t>AMEDISYS INC</t>
  </si>
  <si>
    <t>Anika Therapeutics  Inc.</t>
  </si>
  <si>
    <t>EMPIRE RESORTS INC</t>
  </si>
  <si>
    <t>Revolution Lighting Technologies  Inc.</t>
  </si>
  <si>
    <t>IMAGE SENSING SYSTEMS INC</t>
  </si>
  <si>
    <t>INVENTURE FOODS  INC.</t>
  </si>
  <si>
    <t>TIAA REAL ESTATE ACCOUNT</t>
  </si>
  <si>
    <t>APRICUS BIOSCIENCES  INC.</t>
  </si>
  <si>
    <t>CERUS CORP</t>
  </si>
  <si>
    <t>PIXELWORKS  INC</t>
  </si>
  <si>
    <t>HOPFED BANCORP INC</t>
  </si>
  <si>
    <t>OMEGA PROTEIN CORP</t>
  </si>
  <si>
    <t>SCHOOL SPECIALTY INC</t>
  </si>
  <si>
    <t>MEDIACOM LLC</t>
  </si>
  <si>
    <t>MEDIACOM CAPITAL CORP</t>
  </si>
  <si>
    <t>LCNB CORP</t>
  </si>
  <si>
    <t>THESTREET  INC.</t>
  </si>
  <si>
    <t>ZAP COM CORP</t>
  </si>
  <si>
    <t>UNITED BANCSHARES INC/OH</t>
  </si>
  <si>
    <t>ISTAR INC.</t>
  </si>
  <si>
    <t>ENTRAVISION COMMUNICATIONS CORP</t>
  </si>
  <si>
    <t>CATALYST BIOSCIENCES  INC.</t>
  </si>
  <si>
    <t>VECTREN UTILITY HOLDINGS INC</t>
  </si>
  <si>
    <t>GENOMIC HEALTH INC</t>
  </si>
  <si>
    <t>BRAINSTORM CELL THERAPEUTICS INC.</t>
  </si>
  <si>
    <t>GOLD RESOURCE CORP</t>
  </si>
  <si>
    <t>MEDIACOM BROADBAND LLC</t>
  </si>
  <si>
    <t>MEDIACOM BROADBAND CORP</t>
  </si>
  <si>
    <t>Cytosorbents Corp</t>
  </si>
  <si>
    <t>Paratek Pharmaceuticals  Inc.</t>
  </si>
  <si>
    <t>COMMUNITY FIRST INC</t>
  </si>
  <si>
    <t>AGILE THERAPEUTICS INC</t>
  </si>
  <si>
    <t>INSTITUTIONAL FINANCIAL MARKETS  INC.</t>
  </si>
  <si>
    <t>Ultra Clean Holdings  Inc.</t>
  </si>
  <si>
    <t>MVB FINANCIAL CORP</t>
  </si>
  <si>
    <t>Zoned Properties  Inc.</t>
  </si>
  <si>
    <t>DOUGLAS DYNAMICS  INC</t>
  </si>
  <si>
    <t>W&amp;T OFFSHORE INC</t>
  </si>
  <si>
    <t>TearLab Corp</t>
  </si>
  <si>
    <t>GTT Communications  Inc.</t>
  </si>
  <si>
    <t>Federal Home Loan Bank of Chicago</t>
  </si>
  <si>
    <t>SUPERNUS PHARMACEUTICALS INC</t>
  </si>
  <si>
    <t>Primo Water Corp</t>
  </si>
  <si>
    <t>KCAP Financial  Inc.</t>
  </si>
  <si>
    <t>Blueknight Energy Partners  L.P.</t>
  </si>
  <si>
    <t>TREVENA INC</t>
  </si>
  <si>
    <t>Interval Leisure Group  Inc.</t>
  </si>
  <si>
    <t>Xenith Bankshares  Inc.</t>
  </si>
  <si>
    <t>Arbutus Biopharma Corp</t>
  </si>
  <si>
    <t>First American Silver Corp.</t>
  </si>
  <si>
    <t>Roka BioScience  Inc.</t>
  </si>
  <si>
    <t>Ryerson Holding Corp</t>
  </si>
  <si>
    <t>Vishay Precision Group  Inc.</t>
  </si>
  <si>
    <t>Business Development Corp of America</t>
  </si>
  <si>
    <t>T2 Biosystems  Inc.</t>
  </si>
  <si>
    <t>Bankrate  Inc.</t>
  </si>
  <si>
    <t>Aleris Corp</t>
  </si>
  <si>
    <t>Sierra Income Corp</t>
  </si>
  <si>
    <t>BAHAMAS CONCIERGE  INC.</t>
  </si>
  <si>
    <t>Cynapsus Therapeutics Inc.</t>
  </si>
  <si>
    <t>GLOBAL BRASS &amp; COPPER HOLDINGS  INC.</t>
  </si>
  <si>
    <t>NPC Restaurant Holdings  LLC</t>
  </si>
  <si>
    <t>Epizyme  Inc.</t>
  </si>
  <si>
    <t>Jones Energy  Inc.</t>
  </si>
  <si>
    <t>Mirati Therapeutics  Inc.</t>
  </si>
  <si>
    <t>Alcentra Capital Corp</t>
  </si>
  <si>
    <t>AccuShares Trust I</t>
  </si>
  <si>
    <t>LGI Homes  Inc.</t>
  </si>
  <si>
    <t>Installed Building Products  Inc.</t>
  </si>
  <si>
    <t>Blue Capital Reinsurance Holdings Ltd.</t>
  </si>
  <si>
    <t>Papa Murphy's Holdings  Inc.</t>
  </si>
  <si>
    <t>Blue Hills Bancorp  Inc.</t>
  </si>
  <si>
    <t>NorthStar/RXR New York Metro Real Estate  Inc.</t>
  </si>
  <si>
    <t>AAC Holdings  Inc.</t>
  </si>
  <si>
    <t>Unique Fabricating  Inc.</t>
  </si>
  <si>
    <t>DAVEY TREE EXPERT CO</t>
  </si>
  <si>
    <t>DIXIE GROUP INC</t>
  </si>
  <si>
    <t>SunOpta Inc.</t>
  </si>
  <si>
    <t>ALLIED MOTION TECHNOLOGIES INC</t>
  </si>
  <si>
    <t>VBI VACCINES INC.</t>
  </si>
  <si>
    <t>GERMAN AMERICAN BANCORP  INC.</t>
  </si>
  <si>
    <t>FIRST FINANCIAL CORP /IN/</t>
  </si>
  <si>
    <t>FRANKLIN FINANCIAL SERVICES CORP /PA/</t>
  </si>
  <si>
    <t>Accelerate Diagnostics  Inc</t>
  </si>
  <si>
    <t>HILLS BANCORPORATION</t>
  </si>
  <si>
    <t>SPARTAN MOTORS INC</t>
  </si>
  <si>
    <t>UMH PROPERTIES  INC.</t>
  </si>
  <si>
    <t>FIRST UNITED CORP/MD/</t>
  </si>
  <si>
    <t>CYBEROPTICS CORP</t>
  </si>
  <si>
    <t>XOMA Corp</t>
  </si>
  <si>
    <t>NATIONAL BANKSHARES INC</t>
  </si>
  <si>
    <t>CARROLS RESTAURANT GROUP  INC.</t>
  </si>
  <si>
    <t>CENTURY BANCORP INC</t>
  </si>
  <si>
    <t>CPS TECHNOLOGIES CORP/DE/</t>
  </si>
  <si>
    <t>MIDDLEFIELD BANC CORP</t>
  </si>
  <si>
    <t>TREDEGAR CORP</t>
  </si>
  <si>
    <t>OLD DOMINION ELECTRIC COOPERATIVE</t>
  </si>
  <si>
    <t>MRV COMMUNICATIONS INC</t>
  </si>
  <si>
    <t>CONSUMER PORTFOLIO SERVICES INC</t>
  </si>
  <si>
    <t>TUCOWS INC /PA/</t>
  </si>
  <si>
    <t>WEST MARINE INC</t>
  </si>
  <si>
    <t>MILLER INDUSTRIES INC /TN/</t>
  </si>
  <si>
    <t>GENVEC INC</t>
  </si>
  <si>
    <t>SMITH MICRO SOFTWARE INC</t>
  </si>
  <si>
    <t>ONCOGENEX PHARMACEUTICALS  INC.</t>
  </si>
  <si>
    <t>Protalix BioTherapeutics  Inc.</t>
  </si>
  <si>
    <t>CHARLES &amp; COLVARD LTD</t>
  </si>
  <si>
    <t>ANTARES PHARMA  INC.</t>
  </si>
  <si>
    <t>Sun BioPharma  Inc.</t>
  </si>
  <si>
    <t>DYNAVAX TECHNOLOGIES CORP</t>
  </si>
  <si>
    <t>RIGEL PHARMACEUTICALS INC</t>
  </si>
  <si>
    <t>MCCLATCHY CO</t>
  </si>
  <si>
    <t>TORVEC INC</t>
  </si>
  <si>
    <t>MeetMe  Inc.</t>
  </si>
  <si>
    <t>MANHATTAN BRIDGE CAPITAL  INC</t>
  </si>
  <si>
    <t>CHEMBIO DIAGNOSTICS  INC.</t>
  </si>
  <si>
    <t>ONVIA INC</t>
  </si>
  <si>
    <t>OVERSTOCK.COM  INC</t>
  </si>
  <si>
    <t>CODEXIS INC</t>
  </si>
  <si>
    <t>ENDOCYTE INC</t>
  </si>
  <si>
    <t>MONITRONICS INTERNATIONAL INC</t>
  </si>
  <si>
    <t>VITAL THERAPIES INC</t>
  </si>
  <si>
    <t>ZAGG Inc</t>
  </si>
  <si>
    <t>Bridgepoint Education Inc</t>
  </si>
  <si>
    <t>SERVICESOURCE INTERNATIONAL  INC.</t>
  </si>
  <si>
    <t>Penumbra Inc</t>
  </si>
  <si>
    <t>Xencor Inc</t>
  </si>
  <si>
    <t>Carbonite Inc</t>
  </si>
  <si>
    <t>ICF International  Inc.</t>
  </si>
  <si>
    <t>Vanguard Natural Resources  LLC</t>
  </si>
  <si>
    <t>U.S. Stem Cell  Inc.</t>
  </si>
  <si>
    <t>AMC ENTERTAINMENT HOLDINGS  INC.</t>
  </si>
  <si>
    <t>A. H. Belo Corp</t>
  </si>
  <si>
    <t>ADURO BIOTECH  INC.</t>
  </si>
  <si>
    <t>Arcadia Biosciences  Inc.</t>
  </si>
  <si>
    <t>Edge Therapeutics  Inc.</t>
  </si>
  <si>
    <t>Horizon Technology Finance Corp</t>
  </si>
  <si>
    <t>Hawaiian Telcom Holdco  Inc.</t>
  </si>
  <si>
    <t>Angie's List  Inc.</t>
  </si>
  <si>
    <t>Avinger Inc</t>
  </si>
  <si>
    <t>Versartis  Inc.</t>
  </si>
  <si>
    <t>Carroll Bancorp  Inc.</t>
  </si>
  <si>
    <t>Rouse Properties  Inc.</t>
  </si>
  <si>
    <t>Engility Holdings  Inc.</t>
  </si>
  <si>
    <t>Health Insurance Innovations  Inc.</t>
  </si>
  <si>
    <t>Capitala Finance Corp.</t>
  </si>
  <si>
    <t>Jason Industries  Inc.</t>
  </si>
  <si>
    <t>Xenon Pharmaceuticals Inc.</t>
  </si>
  <si>
    <t>Del Taco Restaurants  Inc.</t>
  </si>
  <si>
    <t>SunEdison Semiconductor Ltd</t>
  </si>
  <si>
    <t>Enviva Partners  LP</t>
  </si>
  <si>
    <t>Heritage Insurance Holdings  Inc.</t>
  </si>
  <si>
    <t>Westlake Chemical Partners LP</t>
  </si>
  <si>
    <t>Viking Therapeutics  Inc.</t>
  </si>
  <si>
    <t>Flex Pharma  Inc.</t>
  </si>
  <si>
    <t>Neff Corp</t>
  </si>
  <si>
    <t>Black Stone Minerals  L.P.</t>
  </si>
  <si>
    <t>Nivalis Therapeutics  Inc.</t>
  </si>
  <si>
    <t>FIRST BUSEY CORP /NV/</t>
  </si>
  <si>
    <t>EMC INSURANCE GROUP INC</t>
  </si>
  <si>
    <t>VECTOR GROUP LTD</t>
  </si>
  <si>
    <t>MICROVISION  INC.</t>
  </si>
  <si>
    <t>Bank of Commerce Holdings</t>
  </si>
  <si>
    <t>SOUTHSIDE BANCSHARES INC</t>
  </si>
  <si>
    <t>AMERISERV FINANCIAL INC /PA/</t>
  </si>
  <si>
    <t>Allied Ventures Holdings Corp.</t>
  </si>
  <si>
    <t>CAPITAL CITY BANK GROUP INC</t>
  </si>
  <si>
    <t>WASHINGTON TRUST BANCORP INC</t>
  </si>
  <si>
    <t>VICOR CORP</t>
  </si>
  <si>
    <t>CODORUS VALLEY BANCORP INC</t>
  </si>
  <si>
    <t>DYNEX CAPITAL INC</t>
  </si>
  <si>
    <t>FINANCIAL INSTITUTIONS INC</t>
  </si>
  <si>
    <t>WINMARK CORP</t>
  </si>
  <si>
    <t>CBIZ  Inc.</t>
  </si>
  <si>
    <t>TEJON RANCH CO</t>
  </si>
  <si>
    <t>MEDALLION FINANCIAL CORP</t>
  </si>
  <si>
    <t>MERCANTILE BANK CORP</t>
  </si>
  <si>
    <t>HERITAGE COMMERCE CORP</t>
  </si>
  <si>
    <t>TASER INTERNATIONAL INC</t>
  </si>
  <si>
    <t>RTI SURGICAL  INC.</t>
  </si>
  <si>
    <t>Support.com  Inc.</t>
  </si>
  <si>
    <t>SALESFORCE COM INC</t>
  </si>
  <si>
    <t>LIQUIDMETAL TECHNOLOGIES INC</t>
  </si>
  <si>
    <t>CIT GROUP INC</t>
  </si>
  <si>
    <t>NICOLET BANKSHARES INC</t>
  </si>
  <si>
    <t>SCYNEXIS INC</t>
  </si>
  <si>
    <t>MARCHEX INC</t>
  </si>
  <si>
    <t>DTS  INC.</t>
  </si>
  <si>
    <t>MARINUS PHARMACEUTICALS INC</t>
  </si>
  <si>
    <t>TOWN SPORTS INTERNATIONAL HOLDINGS INC</t>
  </si>
  <si>
    <t>Orchids Paper Products CO /DE</t>
  </si>
  <si>
    <t>CatchMark Timber Trust  Inc.</t>
  </si>
  <si>
    <t>DIGITAL ALLY INC</t>
  </si>
  <si>
    <t>RIDGEWOOD ENERGY S FUND LLC</t>
  </si>
  <si>
    <t>RIDGEWOOD ENERGY T FUND LLC</t>
  </si>
  <si>
    <t>Sagent Pharmaceuticals  Inc.</t>
  </si>
  <si>
    <t>OPOWER  INC.</t>
  </si>
  <si>
    <t>ATLANTIC POWER CORP</t>
  </si>
  <si>
    <t>ACELRX PHARMACEUTICALS INC</t>
  </si>
  <si>
    <t>Resolute Energy Corp</t>
  </si>
  <si>
    <t>BG Staffing  Inc.</t>
  </si>
  <si>
    <t>Otonomy  Inc.</t>
  </si>
  <si>
    <t>Europa Acquisition I  Inc.</t>
  </si>
  <si>
    <t>United Financial Bancorp  Inc.</t>
  </si>
  <si>
    <t>CytomX Therapeutics  Inc.</t>
  </si>
  <si>
    <t>Neurotrope  Inc.</t>
  </si>
  <si>
    <t>American Midstream Partners  LP</t>
  </si>
  <si>
    <t>Enova International  Inc.</t>
  </si>
  <si>
    <t>Atlas Resource Partners  L.P.</t>
  </si>
  <si>
    <t>Atlas Financial Holdings  Inc.</t>
  </si>
  <si>
    <t>Valmie Resources  Inc.</t>
  </si>
  <si>
    <t>Acelity L.P. Inc.</t>
  </si>
  <si>
    <t>Ladder Capital Corp</t>
  </si>
  <si>
    <t>Blue Water Bar &amp; Grill  Inc.</t>
  </si>
  <si>
    <t>COMMUNICATIONS SALES &amp; LEASING  INC.</t>
  </si>
  <si>
    <t>Cable One  Inc.</t>
  </si>
  <si>
    <t>Griffin-American Healthcare REIT IV  Inc.</t>
  </si>
  <si>
    <t>INDEPENDENT BANK CORP /MI/</t>
  </si>
  <si>
    <t>CASS INFORMATION SYSTEMS INC</t>
  </si>
  <si>
    <t>POPE RESOURCES LTD PARTNERSHIP</t>
  </si>
  <si>
    <t>TOR MINERALS INTERNATIONAL INC</t>
  </si>
  <si>
    <t>CASCADE MICROTECH INC</t>
  </si>
  <si>
    <t>SOUTHWEST BANCORP INC</t>
  </si>
  <si>
    <t>TRANS WORLD CORP</t>
  </si>
  <si>
    <t>BALLANTYNE STRONG  INC.</t>
  </si>
  <si>
    <t>CENTURY ALUMINUM CO</t>
  </si>
  <si>
    <t>GRAFTECH INTERNATIONAL LTD</t>
  </si>
  <si>
    <t>NORTHWEST PIPE CO</t>
  </si>
  <si>
    <t>BANK OF SOUTH CAROLINA CORP</t>
  </si>
  <si>
    <t>TUPPERWARE BRANDS CORP</t>
  </si>
  <si>
    <t>SIGA TECHNOLOGIES INC</t>
  </si>
  <si>
    <t>DOVER MOTORSPORTS INC</t>
  </si>
  <si>
    <t>UNIVEST CORP OF PENNSYLVANIA</t>
  </si>
  <si>
    <t>DELTIC TIMBER CORP</t>
  </si>
  <si>
    <t>TESCO CORP</t>
  </si>
  <si>
    <t>PACIFIC PREMIER BANCORP INC</t>
  </si>
  <si>
    <t>FORMFACTOR INC</t>
  </si>
  <si>
    <t>COMMUNITY WEST BANCSHARES /</t>
  </si>
  <si>
    <t>CRA INTERNATIONAL  INC.</t>
  </si>
  <si>
    <t>LIONBRIDGE TECHNOLOGIES INC /DE/</t>
  </si>
  <si>
    <t>XO GROUP INC.</t>
  </si>
  <si>
    <t>inContact  Inc.</t>
  </si>
  <si>
    <t>AXCELIS TECHNOLOGIES INC</t>
  </si>
  <si>
    <t>UNITED SECURITY BANCSHARES</t>
  </si>
  <si>
    <t>ASPEN AEROGELS INC</t>
  </si>
  <si>
    <t>Vitae Pharmaceuticals  Inc</t>
  </si>
  <si>
    <t>DOVER DOWNS GAMING &amp; ENTERTAINMENT INC</t>
  </si>
  <si>
    <t>DRONE AVIATION HOLDING CORP.</t>
  </si>
  <si>
    <t>MARLIN BUSINESS SERVICES CORP</t>
  </si>
  <si>
    <t>NETLIST INC</t>
  </si>
  <si>
    <t>INVIVO THERAPEUTICS HOLDINGS CORP.</t>
  </si>
  <si>
    <t>Omega Flex  Inc.</t>
  </si>
  <si>
    <t>FreightCar America  Inc.</t>
  </si>
  <si>
    <t>Ruths Hospitality Group  Inc.</t>
  </si>
  <si>
    <t>Pendrell Corp</t>
  </si>
  <si>
    <t>CHEGG  INC</t>
  </si>
  <si>
    <t>GLU MOBILE INC</t>
  </si>
  <si>
    <t>BioSolar Inc</t>
  </si>
  <si>
    <t>NewStar Financial  Inc.</t>
  </si>
  <si>
    <t>NovaBay Pharmaceuticals  Inc.</t>
  </si>
  <si>
    <t>HCI Group  Inc.</t>
  </si>
  <si>
    <t>Approach Resources Inc</t>
  </si>
  <si>
    <t>Forestar Group Inc.</t>
  </si>
  <si>
    <t>Energy Recovery  Inc.</t>
  </si>
  <si>
    <t>SKULLCANDY  INC.</t>
  </si>
  <si>
    <t>RORINE INTERNATIONAL HOLDING Corp</t>
  </si>
  <si>
    <t>CREDEX CORP</t>
  </si>
  <si>
    <t>ARDELYX  INC.</t>
  </si>
  <si>
    <t>MINDBODY  Inc.</t>
  </si>
  <si>
    <t>DC Industrial Liquidating Trust</t>
  </si>
  <si>
    <t>Revance Therapeutics  Inc.</t>
  </si>
  <si>
    <t>Fox Chase Bancorp Inc</t>
  </si>
  <si>
    <t>IntraLinks Holdings  Inc.</t>
  </si>
  <si>
    <t>Marketo  Inc.</t>
  </si>
  <si>
    <t>Apple REIT Ten  Inc.</t>
  </si>
  <si>
    <t>K2M GROUP HOLDINGS  INC.</t>
  </si>
  <si>
    <t>Avalanche Biotechnologies  Inc.</t>
  </si>
  <si>
    <t>Park Sterling Corp</t>
  </si>
  <si>
    <t>MONROE CAPITAL Corp</t>
  </si>
  <si>
    <t>Apollo Residential Mortgage  Inc.</t>
  </si>
  <si>
    <t>Chefs' Warehouse  Inc.</t>
  </si>
  <si>
    <t>Pacific Coast Oil Trust</t>
  </si>
  <si>
    <t>CNH Industrial Capital LLC</t>
  </si>
  <si>
    <t>Dermira  Inc.</t>
  </si>
  <si>
    <t>Kindred Biosciences  Inc.</t>
  </si>
  <si>
    <t>Textura Corp</t>
  </si>
  <si>
    <t>Waterstone Financial  Inc.</t>
  </si>
  <si>
    <t>TRAC Intermodal LLC</t>
  </si>
  <si>
    <t>Advanced Disposal Services  Inc.</t>
  </si>
  <si>
    <t>City Office REIT  Inc.</t>
  </si>
  <si>
    <t>RUBICON PROJECT  INC.</t>
  </si>
  <si>
    <t>Eclipse Resources Corp</t>
  </si>
  <si>
    <t>Atara Biotherapeutics  Inc.</t>
  </si>
  <si>
    <t>American Realty Capital Healthcare Trust III  Inc.</t>
  </si>
  <si>
    <t>Resource Innovation Office REIT  Inc.</t>
  </si>
  <si>
    <t>Wingstop Inc.</t>
  </si>
  <si>
    <t>Planet Fitness  Inc.</t>
  </si>
  <si>
    <t>LivaNova PLC</t>
  </si>
  <si>
    <t>vTv Therapeutics Inc.</t>
  </si>
  <si>
    <t>HAVERTY FURNITURE COMPANIES INC</t>
  </si>
  <si>
    <t>BAYLAKE CORP</t>
  </si>
  <si>
    <t>SWIFT ENERGY CO</t>
  </si>
  <si>
    <t>TRUSTCO BANK CORP N Y</t>
  </si>
  <si>
    <t>AV Homes  Inc.</t>
  </si>
  <si>
    <t>MIDDLESEX WATER CO</t>
  </si>
  <si>
    <t>MOCON INC</t>
  </si>
  <si>
    <t>FIRST MID ILLINOIS BANCSHARES INC</t>
  </si>
  <si>
    <t>HEALTHWAYS  INC</t>
  </si>
  <si>
    <t>NATIONAL RESEARCH CORP</t>
  </si>
  <si>
    <t>ConnectOne Bancorp  Inc.</t>
  </si>
  <si>
    <t>ACNB CORP</t>
  </si>
  <si>
    <t>NABUfit Global  Inc.</t>
  </si>
  <si>
    <t>CNB FINANCIAL CORP/PA</t>
  </si>
  <si>
    <t>KOPIN CORP</t>
  </si>
  <si>
    <t>STAPLES INC</t>
  </si>
  <si>
    <t>OPPENHEIMER HOLDINGS INC</t>
  </si>
  <si>
    <t>UNIVERSAL HEALTH REALTY INCOME TRUST</t>
  </si>
  <si>
    <t>UNITED STATES LIME &amp; MINERALS INC</t>
  </si>
  <si>
    <t>SANDY SPRING BANCORP INC</t>
  </si>
  <si>
    <t>Stock Yards Bancorp  Inc.</t>
  </si>
  <si>
    <t>CALLAWAY GOLF CO</t>
  </si>
  <si>
    <t>TETRA TECHNOLOGIES INC</t>
  </si>
  <si>
    <t>FIRST COMMUNITY BANCSHARES INC /NV/</t>
  </si>
  <si>
    <t>SAFEGUARD SCIENTIFICS INC</t>
  </si>
  <si>
    <t>CASCADE BANCORP</t>
  </si>
  <si>
    <t>PETROQUEST ENERGY INC</t>
  </si>
  <si>
    <t>CINEMARK USA INC /TX</t>
  </si>
  <si>
    <t>U S PHYSICAL THERAPY INC /NV</t>
  </si>
  <si>
    <t>ALAMO GROUP INC</t>
  </si>
  <si>
    <t>SAUL CENTERS INC</t>
  </si>
  <si>
    <t>NATURAL HEALTH TRENDS CORP</t>
  </si>
  <si>
    <t>C &amp; F FINANCIAL CORP</t>
  </si>
  <si>
    <t>UNITY BANCORP INC /NJ/</t>
  </si>
  <si>
    <t>HERITAGE OAKS BANCORP</t>
  </si>
  <si>
    <t>BALDWIN &amp; LYONS INC</t>
  </si>
  <si>
    <t>FBL FINANCIAL GROUP INC</t>
  </si>
  <si>
    <t>BioScrip  Inc.</t>
  </si>
  <si>
    <t>VSE CORP</t>
  </si>
  <si>
    <t>NII HOLDINGS INC</t>
  </si>
  <si>
    <t>Reis  Inc.</t>
  </si>
  <si>
    <t>COMPX INTERNATIONAL INC</t>
  </si>
  <si>
    <t>PC CONNECTION INC</t>
  </si>
  <si>
    <t>AMERICA FIRST MULTIFAMILY INVESTORS  L.P.</t>
  </si>
  <si>
    <t>CYTOKINETICS INC</t>
  </si>
  <si>
    <t>PAIN THERAPEUTICS INC</t>
  </si>
  <si>
    <t>SEQUENOM INC</t>
  </si>
  <si>
    <t>PERFICIENT INC</t>
  </si>
  <si>
    <t>CenterState Banks  Inc.</t>
  </si>
  <si>
    <t>NORTHERN OIL &amp; GAS  INC.</t>
  </si>
  <si>
    <t>GLOBALSCAPE INC</t>
  </si>
  <si>
    <t>SENOMYX INC</t>
  </si>
  <si>
    <t>WEST BANCORPORATION INC</t>
  </si>
  <si>
    <t>Hudson Global  Inc.</t>
  </si>
  <si>
    <t>KONA GRILL INC</t>
  </si>
  <si>
    <t>Five9  Inc.</t>
  </si>
  <si>
    <t>ProNAi Therapeutics Inc</t>
  </si>
  <si>
    <t>LHC Group  Inc</t>
  </si>
  <si>
    <t>Tobira Therapeutics  Inc.</t>
  </si>
  <si>
    <t>Dividend Capital Diversified Property Fund Inc.</t>
  </si>
  <si>
    <t>RIDGEWOOD ENERGY Q FUND LLC</t>
  </si>
  <si>
    <t>Planet Payment Inc</t>
  </si>
  <si>
    <t>Clean Energy Fuels Corp.</t>
  </si>
  <si>
    <t>RIDGEWOOD ENERGY V FUND LLC</t>
  </si>
  <si>
    <t>NEULION  INC.</t>
  </si>
  <si>
    <t>CAI International  Inc.</t>
  </si>
  <si>
    <t>BBVA COMPASS BANCSHARES  INC</t>
  </si>
  <si>
    <t>Ridgewood Energy W Fund LLC</t>
  </si>
  <si>
    <t>MidWestOne Financial Group  Inc.</t>
  </si>
  <si>
    <t>Del Frisco's Restaurant Group  Inc.</t>
  </si>
  <si>
    <t>On Deck Capital  Inc.</t>
  </si>
  <si>
    <t>Tonix Pharmaceuticals Holding Corp.</t>
  </si>
  <si>
    <t>FATE THERAPEUTICS INC</t>
  </si>
  <si>
    <t>CLEARSIGN COMBUSTION CORP</t>
  </si>
  <si>
    <t>RVUE HOLDINGS  INC.</t>
  </si>
  <si>
    <t>CAMBIUM LEARNING GROUP  INC.</t>
  </si>
  <si>
    <t>PHILLIPS EDISON GROCERY CENTER REIT I  INC.</t>
  </si>
  <si>
    <t>Teladoc  Inc.</t>
  </si>
  <si>
    <t>Univar Inc.</t>
  </si>
  <si>
    <t>InfraREIT  Inc.</t>
  </si>
  <si>
    <t>FIDUS INVESTMENT Corp</t>
  </si>
  <si>
    <t>Verastem  Inc.</t>
  </si>
  <si>
    <t>Ignite Restaurant Group  Inc.</t>
  </si>
  <si>
    <t>Exeo Entertainment  Inc.</t>
  </si>
  <si>
    <t>Stellus Capital Investment Corp</t>
  </si>
  <si>
    <t>JAVELIN MORTGAGE INVESTMENT CORP.</t>
  </si>
  <si>
    <t>PHILLIPS EDISON GROCERY CENTER REIT II  INC.</t>
  </si>
  <si>
    <t>REGENXBIO Inc.</t>
  </si>
  <si>
    <t>Wells Fargo Real Estate Investment Corp.</t>
  </si>
  <si>
    <t>Habit Restaurants  Inc.</t>
  </si>
  <si>
    <t>Baxalta Inc</t>
  </si>
  <si>
    <t>Aimmune Therapeutics  Inc.</t>
  </si>
  <si>
    <t>TopBuild Corp</t>
  </si>
  <si>
    <t>Kraft Heinz Co</t>
  </si>
  <si>
    <t>CDI CORP</t>
  </si>
  <si>
    <t>CHECKPOINT SYSTEMS INC</t>
  </si>
  <si>
    <t>INTERNATIONAL SHIPHOLDING CORP</t>
  </si>
  <si>
    <t>Wendy's Co</t>
  </si>
  <si>
    <t>MYR GROUP INC.</t>
  </si>
  <si>
    <t>LAKELAND FINANCIAL CORP</t>
  </si>
  <si>
    <t>INVACARE CORP</t>
  </si>
  <si>
    <t>ST JOE CO</t>
  </si>
  <si>
    <t>MEDIZONE INTERNATIONAL INC</t>
  </si>
  <si>
    <t>GCI INC</t>
  </si>
  <si>
    <t>GENERAL COMMUNICATION INC</t>
  </si>
  <si>
    <t>EVANS BANCORP INC</t>
  </si>
  <si>
    <t>ISSUER DIRECT CORP</t>
  </si>
  <si>
    <t>GREAT SOUTHERN BANCORP INC</t>
  </si>
  <si>
    <t>TRANSENTERIX INC.</t>
  </si>
  <si>
    <t>ALPHA PRO TECH LTD</t>
  </si>
  <si>
    <t>ROCKY BRANDS  INC.</t>
  </si>
  <si>
    <t>EXACTECH INC</t>
  </si>
  <si>
    <t>Diversicare Healthcare Services  Inc.</t>
  </si>
  <si>
    <t>ENGLOBAL CORP</t>
  </si>
  <si>
    <t>V F CORP</t>
  </si>
  <si>
    <t>BROOKLINE BANCORP INC</t>
  </si>
  <si>
    <t>WEIGHT WATCHERS INTERNATIONAL INC</t>
  </si>
  <si>
    <t>FAIRPOINT COMMUNICATIONS INC</t>
  </si>
  <si>
    <t>GSI GROUP INC</t>
  </si>
  <si>
    <t>IKONICS CORP</t>
  </si>
  <si>
    <t>SOUTHERN FIRST BANCSHARES INC</t>
  </si>
  <si>
    <t>ILLUMINA INC</t>
  </si>
  <si>
    <t>BIG 5 SPORTING GOODS Corp</t>
  </si>
  <si>
    <t>FIVE STAR QUALITY CARE INC</t>
  </si>
  <si>
    <t>BILL BARRETT CORP</t>
  </si>
  <si>
    <t>OphthaliX  Inc.</t>
  </si>
  <si>
    <t>MONEYGRAM INTERNATIONAL INC</t>
  </si>
  <si>
    <t>B&amp;G Foods  Inc.</t>
  </si>
  <si>
    <t>Imprivata Inc</t>
  </si>
  <si>
    <t>AERIE PHARMACEUTICALS INC</t>
  </si>
  <si>
    <t>UNITED INSURANCE HOLDINGS CORP.</t>
  </si>
  <si>
    <t>BLACKHAWK NETWORK HOLDINGS  INC</t>
  </si>
  <si>
    <t>Macquarie Equipment Leasing Fund  LLC</t>
  </si>
  <si>
    <t>Garrison Capital Inc.</t>
  </si>
  <si>
    <t>Lantheus Holdings  Inc.</t>
  </si>
  <si>
    <t>National CineMedia  LLC</t>
  </si>
  <si>
    <t>Armada Hoffler Properties  Inc.</t>
  </si>
  <si>
    <t>Goldman Sachs BDC  Inc.</t>
  </si>
  <si>
    <t>Easterly Government Properties  Inc.</t>
  </si>
  <si>
    <t>Milacron Holdings Corp.</t>
  </si>
  <si>
    <t>RELM WIRELESS CORP</t>
  </si>
  <si>
    <t>NEWPORT CORP</t>
  </si>
  <si>
    <t>EXCO RESOURCES INC</t>
  </si>
  <si>
    <t>ALLSTATE LIFE INSURANCE CO</t>
  </si>
  <si>
    <t>Winthrop Realty Trust</t>
  </si>
  <si>
    <t>FRANKLIN ELECTRIC CO INC</t>
  </si>
  <si>
    <t>AMERICAN VANGUARD CORP</t>
  </si>
  <si>
    <t>RCM TECHNOLOGIES INC</t>
  </si>
  <si>
    <t>INTERFACE INC</t>
  </si>
  <si>
    <t>CITY HOLDING CO</t>
  </si>
  <si>
    <t>MIDDLEBY CORP</t>
  </si>
  <si>
    <t>NACCO INDUSTRIES INC</t>
  </si>
  <si>
    <t>CYPRESS SEMICONDUCTOR CORP /DE/</t>
  </si>
  <si>
    <t>ALMOST FAMILY INC</t>
  </si>
  <si>
    <t>REGAL BELOIT CORP</t>
  </si>
  <si>
    <t>LATTICE SEMICONDUCTOR CORP</t>
  </si>
  <si>
    <t>RADISYS CORP</t>
  </si>
  <si>
    <t>State Auto Financial CORP</t>
  </si>
  <si>
    <t>ULTRALIFE CORP</t>
  </si>
  <si>
    <t>SpartanNash Co</t>
  </si>
  <si>
    <t>CRAFT BREW ALLIANCE  INC.</t>
  </si>
  <si>
    <t>MASONITE INTERNATIONAL CORP</t>
  </si>
  <si>
    <t>UWHARRIE CAPITAL CORP</t>
  </si>
  <si>
    <t>CASELLA WASTE SYSTEMS INC</t>
  </si>
  <si>
    <t>Energy Future Holdings Corp /TX/</t>
  </si>
  <si>
    <t>SUN HYDRAULICS CORP</t>
  </si>
  <si>
    <t>EPIQ SYSTEMS INC</t>
  </si>
  <si>
    <t>Red Lion Hotels CORP</t>
  </si>
  <si>
    <t>SP Plus Corp</t>
  </si>
  <si>
    <t>Crexendo  Inc.</t>
  </si>
  <si>
    <t>DURECT CORP</t>
  </si>
  <si>
    <t>BLUE NILE INC</t>
  </si>
  <si>
    <t>TELEDYNE TECHNOLOGIES INC</t>
  </si>
  <si>
    <t>WOLVERINE WORLD WIDE INC /DE/</t>
  </si>
  <si>
    <t>GREATBATCH  INC.</t>
  </si>
  <si>
    <t>PDF SOLUTIONS INC</t>
  </si>
  <si>
    <t>CVENT INC</t>
  </si>
  <si>
    <t>ADVANCE AUTO PARTS INC</t>
  </si>
  <si>
    <t>NOODLES &amp; Co</t>
  </si>
  <si>
    <t>Morningstar  Inc.</t>
  </si>
  <si>
    <t>ARC DOCUMENT SOLUTIONS  INC.</t>
  </si>
  <si>
    <t>DEMAND MEDIA INC.</t>
  </si>
  <si>
    <t>CONCERT PHARMACEUTICALS  INC.</t>
  </si>
  <si>
    <t>ETSY INC</t>
  </si>
  <si>
    <t>Great Lakes Dredge &amp; Dock CORP</t>
  </si>
  <si>
    <t>Momentive Performance Materials Inc.</t>
  </si>
  <si>
    <t>Maiden Holdings  Ltd.</t>
  </si>
  <si>
    <t>Care.com Inc</t>
  </si>
  <si>
    <t>LendingTree  Inc.</t>
  </si>
  <si>
    <t>Energy Future Competitive Holdings Co LLC</t>
  </si>
  <si>
    <t>Energy Future Intermediate Holding CO LLC</t>
  </si>
  <si>
    <t>WORKIVA INC</t>
  </si>
  <si>
    <t>Enphase Energy  Inc.</t>
  </si>
  <si>
    <t>Foundation Medicine  Inc.</t>
  </si>
  <si>
    <t>Great Basin Scientific  Inc.</t>
  </si>
  <si>
    <t>Nationstar Mortgage Holdings Inc.</t>
  </si>
  <si>
    <t>Global Net Lease  Inc.</t>
  </si>
  <si>
    <t>Ares Commercial Real Estate Corp</t>
  </si>
  <si>
    <t>SICHUAN LEADERS PETROCHEMICAL Co</t>
  </si>
  <si>
    <t>Hannon Armstrong Sustainable Infrastructure Capital  Inc.</t>
  </si>
  <si>
    <t>A10 Networks  Inc.</t>
  </si>
  <si>
    <t>Oxford Immunotec Global PLC</t>
  </si>
  <si>
    <t>Terrapin 3 Acquisition Corp</t>
  </si>
  <si>
    <t>Symmetry Surgical Inc.</t>
  </si>
  <si>
    <t>Credit Suisse Park View BDC  Inc.</t>
  </si>
  <si>
    <t>MPM Holdings Inc.</t>
  </si>
  <si>
    <t>Pinkbrick Holdings Inc.</t>
  </si>
  <si>
    <t>Press Ganey Holdings  Inc.</t>
  </si>
  <si>
    <t>Broke Out Inc.</t>
  </si>
  <si>
    <t>8point3 Energy Partners LP</t>
  </si>
  <si>
    <t>Horizon Global Corp</t>
  </si>
  <si>
    <t>Novocure Ltd</t>
  </si>
  <si>
    <t>CUBESCAPE INC</t>
  </si>
  <si>
    <t>CONSOLIDATED TOMOKA LAND CO</t>
  </si>
  <si>
    <t>PERKINELMER INC</t>
  </si>
  <si>
    <t>Kate Spade &amp; Co</t>
  </si>
  <si>
    <t>FOSTER L B CO</t>
  </si>
  <si>
    <t>INTERNATIONAL FLAVORS &amp; FRAGRANCES INC</t>
  </si>
  <si>
    <t>SNYDER'S-LANCE  INC.</t>
  </si>
  <si>
    <t>QWEST CORP</t>
  </si>
  <si>
    <t>FIRST FARMERS &amp; MERCHANTS CORP</t>
  </si>
  <si>
    <t>DIGIRAD CORP</t>
  </si>
  <si>
    <t>OLIN CORP</t>
  </si>
  <si>
    <t>GREAT WEST LIFE &amp; ANNUITY INSURANCE CO</t>
  </si>
  <si>
    <t>OVERSEAS SHIPHOLDING GROUP INC</t>
  </si>
  <si>
    <t>PUBLIX SUPER MARKETS INC</t>
  </si>
  <si>
    <t>SELECT COMFORT CORP</t>
  </si>
  <si>
    <t>FIRST INTERSTATE BANCSYSTEM INC</t>
  </si>
  <si>
    <t>LITTELFUSE INC /DE</t>
  </si>
  <si>
    <t>USANA HEALTH SCIENCES INC</t>
  </si>
  <si>
    <t>NEKTAR THERAPEUTICS</t>
  </si>
  <si>
    <t>DARLING INGREDIENTS INC.</t>
  </si>
  <si>
    <t>LABORATORY CORP OF AMERICA HOLDINGS</t>
  </si>
  <si>
    <t>NOVAVAX INC</t>
  </si>
  <si>
    <t>LEXMARK INTERNATIONAL INC /KY/</t>
  </si>
  <si>
    <t>CSG SYSTEMS INTERNATIONAL INC</t>
  </si>
  <si>
    <t>LORAL SPACE &amp; COMMUNICATIONS INC.</t>
  </si>
  <si>
    <t>ACORDA THERAPEUTICS INC</t>
  </si>
  <si>
    <t>CARBO CERAMICS INC</t>
  </si>
  <si>
    <t>POLYCOM INC</t>
  </si>
  <si>
    <t>SYKES ENTERPRISES INC</t>
  </si>
  <si>
    <t>YAHOO INC</t>
  </si>
  <si>
    <t>KNOLL INC</t>
  </si>
  <si>
    <t>MUFG Americas Holdings Corp</t>
  </si>
  <si>
    <t>RUSH ENTERPRISES INC \TX\</t>
  </si>
  <si>
    <t>Energy Transfer Partners  L.P.</t>
  </si>
  <si>
    <t>GENESEE &amp; WYOMING INC</t>
  </si>
  <si>
    <t>ENDOLOGIX INC /DE/</t>
  </si>
  <si>
    <t>NRG ENERGY  INC.</t>
  </si>
  <si>
    <t>WINTRUST FINANCIAL CORP</t>
  </si>
  <si>
    <t>ARQULE INC</t>
  </si>
  <si>
    <t>DXP ENTERPRISES INC</t>
  </si>
  <si>
    <t>ULTRA PETROLEUM CORP</t>
  </si>
  <si>
    <t>EURONET WORLDWIDE INC</t>
  </si>
  <si>
    <t>GULFMARK OFFSHORE INC</t>
  </si>
  <si>
    <t>ICAHN ENTERPRISES HOLDINGS L.P.</t>
  </si>
  <si>
    <t>SOUTH JERSEY GAS Co</t>
  </si>
  <si>
    <t>BOSTON PROPERTIES INC</t>
  </si>
  <si>
    <t>WALTER INVESTMENT MANAGEMENT CORP</t>
  </si>
  <si>
    <t>SL GREEN REALTY CORP</t>
  </si>
  <si>
    <t>ROCKWELL MEDICAL  INC.</t>
  </si>
  <si>
    <t>BOSTON PROPERTIES LTD PARTNERSHIP</t>
  </si>
  <si>
    <t>C H ROBINSON WORLDWIDE INC</t>
  </si>
  <si>
    <t>VASCO DATA SECURITY INTERNATIONAL INC</t>
  </si>
  <si>
    <t>CHOICE HOTELS INTERNATIONAL INC /DE</t>
  </si>
  <si>
    <t>REALNETWORKS INC</t>
  </si>
  <si>
    <t>CAREER EDUCATION CORP</t>
  </si>
  <si>
    <t>BIOMARIN PHARMACEUTICAL INC</t>
  </si>
  <si>
    <t>WATSCO INC</t>
  </si>
  <si>
    <t>EAGLE BANCORP INC</t>
  </si>
  <si>
    <t>QUANTA SERVICES INC</t>
  </si>
  <si>
    <t>KINDRED HEALTHCARE  INC</t>
  </si>
  <si>
    <t>BRANDYWINE OPERATING PARTNERSHIP  L.P.</t>
  </si>
  <si>
    <t>CEB Inc.</t>
  </si>
  <si>
    <t>BERKSHIRE HATHAWAY INC</t>
  </si>
  <si>
    <t>PROSPERITY BANCSHARES INC</t>
  </si>
  <si>
    <t>PTC THERAPEUTICS  INC.</t>
  </si>
  <si>
    <t>STERLING BANCORP</t>
  </si>
  <si>
    <t>ACADIA PHARMACEUTICALS INC</t>
  </si>
  <si>
    <t>China Elite Information Co.  Ltd.</t>
  </si>
  <si>
    <t>ARENA PHARMACEUTICALS INC</t>
  </si>
  <si>
    <t>BERKSHIRE HATHAWAY ENERGY CO</t>
  </si>
  <si>
    <t>STAMPS.COM INC</t>
  </si>
  <si>
    <t>J2 GLOBAL  INC.</t>
  </si>
  <si>
    <t>PUGET ENERGY INC /WA</t>
  </si>
  <si>
    <t>AKAMAI TECHNOLOGIES INC</t>
  </si>
  <si>
    <t>BROADSOFT  INC.</t>
  </si>
  <si>
    <t>ZIONS BANCORPORATION /UT/</t>
  </si>
  <si>
    <t>BGC Partners  Inc.</t>
  </si>
  <si>
    <t>EVEREST RE GROUP LTD</t>
  </si>
  <si>
    <t>NUTRI SYSTEM INC /DE/</t>
  </si>
  <si>
    <t>MIDAMERICAN FUNDING LLC</t>
  </si>
  <si>
    <t>ENTEGRIS INC</t>
  </si>
  <si>
    <t>PACWEST BANCORP</t>
  </si>
  <si>
    <t>BERKSHIRE HILLS BANCORP INC</t>
  </si>
  <si>
    <t>CURIS INC</t>
  </si>
  <si>
    <t>PNM RESOURCES INC</t>
  </si>
  <si>
    <t>HANMI FINANCIAL CORP</t>
  </si>
  <si>
    <t>BRUKER CORP</t>
  </si>
  <si>
    <t>MEDICINES CO /DE</t>
  </si>
  <si>
    <t>PINNACLE FINANCIAL PARTNERS INC</t>
  </si>
  <si>
    <t>CHIMERIX INC</t>
  </si>
  <si>
    <t>ALLSCRIPTS HEALTHCARE SOLUTIONS  INC.</t>
  </si>
  <si>
    <t>MACROGENICS INC</t>
  </si>
  <si>
    <t>NEWLINK GENETICS CORP</t>
  </si>
  <si>
    <t>GenOn Energy  Inc.</t>
  </si>
  <si>
    <t>MARINE PRODUCTS CORP</t>
  </si>
  <si>
    <t>Crestwood Equity Partners LP</t>
  </si>
  <si>
    <t>ZIMMER BIOMET HOLDINGS  INC.</t>
  </si>
  <si>
    <t>CBRE GROUP  INC.</t>
  </si>
  <si>
    <t>GENON MID-ATLANTIC  LLC</t>
  </si>
  <si>
    <t>WILLIS TOWERS WATSON PLC</t>
  </si>
  <si>
    <t>GENON AMERICAS GENERATION LLC</t>
  </si>
  <si>
    <t>NEXSTAR BROADCASTING GROUP INC</t>
  </si>
  <si>
    <t>INSULET CORP</t>
  </si>
  <si>
    <t>HALOZYME THERAPEUTICS INC</t>
  </si>
  <si>
    <t>INPHI Corp</t>
  </si>
  <si>
    <t>TALEN ENERGY SUPPLY  LLC</t>
  </si>
  <si>
    <t>RigNet  Inc.</t>
  </si>
  <si>
    <t>FLUIDIGM CORP</t>
  </si>
  <si>
    <t>UNITED STATES STEEL CORP</t>
  </si>
  <si>
    <t>XPO Logistics  Inc.</t>
  </si>
  <si>
    <t>REGAL ENTERTAINMENT GROUP</t>
  </si>
  <si>
    <t>MITEL NETWORKS CORP</t>
  </si>
  <si>
    <t>WYNN RESORTS LTD</t>
  </si>
  <si>
    <t>FLEETCOR TECHNOLOGIES INC</t>
  </si>
  <si>
    <t>Whitestone REIT</t>
  </si>
  <si>
    <t>ARES MANAGEMENT LP</t>
  </si>
  <si>
    <t>AMICUS THERAPEUTICS INC</t>
  </si>
  <si>
    <t>PROVIDENT FINANCIAL SERVICES INC</t>
  </si>
  <si>
    <t>WYNN LAS VEGAS LLC</t>
  </si>
  <si>
    <t>HMS HOLDINGS CORP</t>
  </si>
  <si>
    <t>AMERICAN PUBLIC EDUCATION INC</t>
  </si>
  <si>
    <t>BNC BANCORP</t>
  </si>
  <si>
    <t>NORTEK INC</t>
  </si>
  <si>
    <t>CROWN HOLDINGS INC</t>
  </si>
  <si>
    <t>BIO RAD LABORATORIES INC</t>
  </si>
  <si>
    <t>GLOBUS MEDICAL INC</t>
  </si>
  <si>
    <t>BLACK HILLS POWER INC</t>
  </si>
  <si>
    <t>GLYCOMIMETICS INC</t>
  </si>
  <si>
    <t>QVC INC</t>
  </si>
  <si>
    <t>NEUSTAR INC</t>
  </si>
  <si>
    <t>PORTOLA PHARMACEUTICALS INC</t>
  </si>
  <si>
    <t>INTERCEPT PHARMACEUTICALS INC</t>
  </si>
  <si>
    <t>GRAN TIERRA ENERGY INC.</t>
  </si>
  <si>
    <t>NORTHSTAR REALTY FINANCE CORP.</t>
  </si>
  <si>
    <t>Energy Transfer Equity  L.P.</t>
  </si>
  <si>
    <t>ISHARES GOLD TRUST</t>
  </si>
  <si>
    <t>MONOLITHIC POWER SYSTEMS INC</t>
  </si>
  <si>
    <t>AMERICAN CAMPUS COMMUNITIES INC</t>
  </si>
  <si>
    <t>REALPAGE INC</t>
  </si>
  <si>
    <t>MEDICAL PROPERTIES TRUST INC</t>
  </si>
  <si>
    <t>Extra Space Storage Inc.</t>
  </si>
  <si>
    <t>Gramercy Property Trust</t>
  </si>
  <si>
    <t>DiamondRock Hospitality Co</t>
  </si>
  <si>
    <t>Education Realty Trust  Inc.</t>
  </si>
  <si>
    <t>Pharma-Bio Serv  Inc.</t>
  </si>
  <si>
    <t>Consolidated Communications Holdings  Inc.</t>
  </si>
  <si>
    <t>Crestwood Midstream Partners LP</t>
  </si>
  <si>
    <t>Koppers Holdings Inc.</t>
  </si>
  <si>
    <t>NCL CORP Ltd.</t>
  </si>
  <si>
    <t>GLOBAL PARTNERS LP</t>
  </si>
  <si>
    <t>AtriCure  Inc.</t>
  </si>
  <si>
    <t>WebMD Health Corp.</t>
  </si>
  <si>
    <t>PowerShares DB Commodity Index Tracking Fund</t>
  </si>
  <si>
    <t>iShares Silver Trust</t>
  </si>
  <si>
    <t>TAL International Group  Inc.</t>
  </si>
  <si>
    <t>Crocs  Inc.</t>
  </si>
  <si>
    <t>ENVESTNET  INC.</t>
  </si>
  <si>
    <t>Western Refining  Inc.</t>
  </si>
  <si>
    <t>Calumet Specialty Products Partners  L.P.</t>
  </si>
  <si>
    <t>Compass Group Diversified Holdings LLC</t>
  </si>
  <si>
    <t>Compass Diversified Holdings</t>
  </si>
  <si>
    <t>EDUCATION REALTY OPERATING PARTNERSHIP L P</t>
  </si>
  <si>
    <t>Delek US Holdings  Inc.</t>
  </si>
  <si>
    <t>PowerShares DB G10 Currency Harvest Fund</t>
  </si>
  <si>
    <t>Security Devices International Inc.</t>
  </si>
  <si>
    <t>INTREXON CORP</t>
  </si>
  <si>
    <t>American Campus Communities Operating Partnership LP</t>
  </si>
  <si>
    <t>Primoris Services Corp</t>
  </si>
  <si>
    <t>EV Energy Partners  LP</t>
  </si>
  <si>
    <t>Enstar Group LTD</t>
  </si>
  <si>
    <t>HERTZ GLOBAL HOLDINGS INC</t>
  </si>
  <si>
    <t>Amtrust Financial Services  Inc.</t>
  </si>
  <si>
    <t>Archrock Partners  L.P.</t>
  </si>
  <si>
    <t>PowerShares DB Multi-Sector Commodity Trust</t>
  </si>
  <si>
    <t>Emergent BioSolutions Inc.</t>
  </si>
  <si>
    <t>Special Value Continuation Partners  LP</t>
  </si>
  <si>
    <t>TCP Capital Corp.</t>
  </si>
  <si>
    <t>PowerShares DB US Dollar Index Trust</t>
  </si>
  <si>
    <t>MIMEDX GROUP  INC.</t>
  </si>
  <si>
    <t>Ridgewood Energy U Fund LLC</t>
  </si>
  <si>
    <t>People's United Financial  Inc.</t>
  </si>
  <si>
    <t>Targa Resources Partners LP</t>
  </si>
  <si>
    <t>Interactive Brokers Group  Inc.</t>
  </si>
  <si>
    <t>POWERSHARES DB SILVER FUND</t>
  </si>
  <si>
    <t>PowerShares DB Gold Fund</t>
  </si>
  <si>
    <t>PowerShares DB Precious Metals Fund</t>
  </si>
  <si>
    <t>PowerShares DB Oil Fund</t>
  </si>
  <si>
    <t>PowerShares DB Energy Fund</t>
  </si>
  <si>
    <t>POWERSHARES DB AGRICULTURE FUND</t>
  </si>
  <si>
    <t>POWERSHARES DB BASE METALS FUND</t>
  </si>
  <si>
    <t>POWERSHARES DB US DOLLAR INDEX BEARISH FUND</t>
  </si>
  <si>
    <t>PowerShares DB US Dollar Index Bullish Fund</t>
  </si>
  <si>
    <t>RingCentral Inc</t>
  </si>
  <si>
    <t>GREEN DOT CORP</t>
  </si>
  <si>
    <t>Archrock  Inc.</t>
  </si>
  <si>
    <t>Targa Resources Corp.</t>
  </si>
  <si>
    <t>Resolute Forest Products Inc.</t>
  </si>
  <si>
    <t>Public Storage</t>
  </si>
  <si>
    <t>Lumber Liquidators Holdings  Inc.</t>
  </si>
  <si>
    <t>FORUM ENERGY TECHNOLOGIES  INC.</t>
  </si>
  <si>
    <t>PUMA BIOTECHNOLOGY  INC.</t>
  </si>
  <si>
    <t>SS&amp;C Technologies Holdings Inc</t>
  </si>
  <si>
    <t>Anacor Pharmaceuticals  Inc.</t>
  </si>
  <si>
    <t>Apollo Global Management LLC</t>
  </si>
  <si>
    <t>ProShares Trust II</t>
  </si>
  <si>
    <t>TWITTER  INC.</t>
  </si>
  <si>
    <t>Federal-Mogul Holdings Corp</t>
  </si>
  <si>
    <t>Intrepid Potash  Inc.</t>
  </si>
  <si>
    <t>FS Investment CORP</t>
  </si>
  <si>
    <t>Pleasant Kids  Inc.</t>
  </si>
  <si>
    <t>FOX FACTORY HOLDING CORP</t>
  </si>
  <si>
    <t>APPFOLIO INC</t>
  </si>
  <si>
    <t>John Bean Technologies CORP</t>
  </si>
  <si>
    <t>Ascent Capital Group  Inc.</t>
  </si>
  <si>
    <t>BRIGHT HORIZONS FAMILY SOLUTIONS INC.</t>
  </si>
  <si>
    <t>NEVRO CORP</t>
  </si>
  <si>
    <t>FITBIT INC</t>
  </si>
  <si>
    <t>Essent Group Ltd.</t>
  </si>
  <si>
    <t>ETFS SILVER TRUST</t>
  </si>
  <si>
    <t>ETFS Gold Trust</t>
  </si>
  <si>
    <t>Medidata Solutions  Inc.</t>
  </si>
  <si>
    <t>RIDGEWOOD ENERGY X FUND  LLC</t>
  </si>
  <si>
    <t>RIDGEWOOD ENERGY A-1 FUND LLC</t>
  </si>
  <si>
    <t>Alarm.com Holdings  Inc.</t>
  </si>
  <si>
    <t>ETFS PALLADIUM TRUST</t>
  </si>
  <si>
    <t>ETFS Platinum Trust</t>
  </si>
  <si>
    <t>Orgenesis Inc.</t>
  </si>
  <si>
    <t>Jive Software  Inc.</t>
  </si>
  <si>
    <t>PennyMac Mortgage Investment Trust</t>
  </si>
  <si>
    <t>Clovis Oncology  Inc.</t>
  </si>
  <si>
    <t>COWEN GROUP  INC.</t>
  </si>
  <si>
    <t>Otter Tail Corp</t>
  </si>
  <si>
    <t>Colony Capital  Inc.</t>
  </si>
  <si>
    <t>Northwest Bancshares  Inc.</t>
  </si>
  <si>
    <t>National Bank Holdings Corp</t>
  </si>
  <si>
    <t>ETFS Precious Metals Basket Trust</t>
  </si>
  <si>
    <t>Tower International  Inc.</t>
  </si>
  <si>
    <t>ETFS White Metals Basket Trust</t>
  </si>
  <si>
    <t>CHINA GEWANG BIOTECHNOLOGY  INC.</t>
  </si>
  <si>
    <t>TESARO  Inc.</t>
  </si>
  <si>
    <t>Horizon Pharma plc</t>
  </si>
  <si>
    <t>SL GREEN OPERATING PARTNERSHIP  L.P.</t>
  </si>
  <si>
    <t>Bravo Brio Restaurant Group  Inc.</t>
  </si>
  <si>
    <t>New Mountain Finance Corp</t>
  </si>
  <si>
    <t>Howard Hughes Corp</t>
  </si>
  <si>
    <t>GoPro  Inc.</t>
  </si>
  <si>
    <t>Station Casinos LLC</t>
  </si>
  <si>
    <t>Bonanza Creek Energy  Inc.</t>
  </si>
  <si>
    <t>Kite Pharma  Inc.</t>
  </si>
  <si>
    <t>Coherus BioSciences  Inc.</t>
  </si>
  <si>
    <t>Norwegian Cruise Line Holdings Ltd.</t>
  </si>
  <si>
    <t>Insys Therapeutics  Inc.</t>
  </si>
  <si>
    <t>Interactive Intelligence Group  Inc.</t>
  </si>
  <si>
    <t>Matador Resources Co</t>
  </si>
  <si>
    <t>JP Energy Partners LP</t>
  </si>
  <si>
    <t>MPT Operating Partnership  L.P.</t>
  </si>
  <si>
    <t>ERA GROUP INC.</t>
  </si>
  <si>
    <t>Mid-Con Energy Partners  LP</t>
  </si>
  <si>
    <t>Sanchez Energy Corp</t>
  </si>
  <si>
    <t>PBF Energy Inc.</t>
  </si>
  <si>
    <t>iSHARES COMMODITY OPTIMIZED TRUST</t>
  </si>
  <si>
    <t>Alexander &amp; Baldwin  Inc.</t>
  </si>
  <si>
    <t>Summit Midstream Partners  LP</t>
  </si>
  <si>
    <t>BNSF RAILWAY CO</t>
  </si>
  <si>
    <t>Delek Logistics Partners  LP</t>
  </si>
  <si>
    <t>Altisource Residential Corp</t>
  </si>
  <si>
    <t>Altisource Asset Management Corp</t>
  </si>
  <si>
    <t>Emerge Energy Services LP</t>
  </si>
  <si>
    <t>WHITEWAVE FOODS Co</t>
  </si>
  <si>
    <t>QualityTech  LP</t>
  </si>
  <si>
    <t>Pattern Energy Group Inc.</t>
  </si>
  <si>
    <t>KCG Holdings  Inc.</t>
  </si>
  <si>
    <t>Physicians Realty Trust</t>
  </si>
  <si>
    <t>Frank's International N.V.</t>
  </si>
  <si>
    <t>Caesars Acquisition Co</t>
  </si>
  <si>
    <t>Criteo S.A.</t>
  </si>
  <si>
    <t>ClubCorp Holdings  Inc.</t>
  </si>
  <si>
    <t>QTS Realty Trust  Inc.</t>
  </si>
  <si>
    <t>Envision Healthcare Holdings  Inc.</t>
  </si>
  <si>
    <t>National General Holdings Corp.</t>
  </si>
  <si>
    <t>Colony Starwood Homes</t>
  </si>
  <si>
    <t>OUTFRONT Media Inc.</t>
  </si>
  <si>
    <t>Brixmor Property Group Inc.</t>
  </si>
  <si>
    <t>OneMain Holdings  Inc.</t>
  </si>
  <si>
    <t>Endo International plc</t>
  </si>
  <si>
    <t>Investors Bancorp  Inc.</t>
  </si>
  <si>
    <t>Parsley Energy  Inc.</t>
  </si>
  <si>
    <t>WP Glimcher Inc.</t>
  </si>
  <si>
    <t>Juno Therapeutics  Inc.</t>
  </si>
  <si>
    <t>NorthStar Asset Management Group Inc.</t>
  </si>
  <si>
    <t>Sage Therapeutics  Inc.</t>
  </si>
  <si>
    <t>TimkenSteel Corp</t>
  </si>
  <si>
    <t>Halyard Health  Inc.</t>
  </si>
  <si>
    <t>ReWalk Robotics Ltd.</t>
  </si>
  <si>
    <t>California Resources Corp</t>
  </si>
  <si>
    <t>Diplomat Pharmacy  Inc.</t>
  </si>
  <si>
    <t>Shell Midstream Partners  L.P.</t>
  </si>
  <si>
    <t>Washington Prime Group  L.P.</t>
  </si>
  <si>
    <t>Caesars Entertainment Resort Properties  LLC</t>
  </si>
  <si>
    <t>Virgin America Inc.</t>
  </si>
  <si>
    <t>C&amp;J Energy Services Ltd.</t>
  </si>
  <si>
    <t>Wayfair Inc.</t>
  </si>
  <si>
    <t>Metaldyne Performance Group Inc.</t>
  </si>
  <si>
    <t>Axalta Coating Systems Ltd.</t>
  </si>
  <si>
    <t>CB Pharma Acquisition Corp.</t>
  </si>
  <si>
    <t>Talen Energy Corp</t>
  </si>
  <si>
    <t>PJT Partners Inc.</t>
  </si>
  <si>
    <t>Evolent Health  Inc.</t>
  </si>
  <si>
    <t>Brixmor Operating Partnership LP</t>
  </si>
  <si>
    <t>CHEETAH ENTERPRISES  INC.</t>
  </si>
  <si>
    <t>NRG YIELD LLC</t>
  </si>
  <si>
    <t>ARRIS International plc</t>
  </si>
  <si>
    <t>CANADIAN PACIFIC RAILWAY LTD/CN</t>
  </si>
  <si>
    <t>SYNOVUS FINANCIAL CORP</t>
  </si>
  <si>
    <t>MAGELLAN HEALTH INC</t>
  </si>
  <si>
    <t>CHESAPEAKE UTILITIES CORP</t>
  </si>
  <si>
    <t>MEDIA GENERAL INC</t>
  </si>
  <si>
    <t>TEXAS NEW MEXICO POWER CO</t>
  </si>
  <si>
    <t>SPRINGLEAF FINANCE CORP</t>
  </si>
  <si>
    <t>GRAINGER W W INC</t>
  </si>
  <si>
    <t>FEDERAL SIGNAL CORP /DE/</t>
  </si>
  <si>
    <t>DIEBOLD INC</t>
  </si>
  <si>
    <t>Bulova Technologies Group  Inc.</t>
  </si>
  <si>
    <t>SAN JUAN BASIN ROYALTY TRUST</t>
  </si>
  <si>
    <t>EL PASO ELECTRIC CO /TX/</t>
  </si>
  <si>
    <t>PHI INC</t>
  </si>
  <si>
    <t>Ameris Bancorp</t>
  </si>
  <si>
    <t>Aegion Corp</t>
  </si>
  <si>
    <t>PINNACLE ENTERTAINMENT INC.</t>
  </si>
  <si>
    <t>TEGNA INC</t>
  </si>
  <si>
    <t>BANK OF HAWAII CORP</t>
  </si>
  <si>
    <t>HERTZ CORP</t>
  </si>
  <si>
    <t>HNI CORP</t>
  </si>
  <si>
    <t>RAYONIER INC</t>
  </si>
  <si>
    <t>KAMAN Corp</t>
  </si>
  <si>
    <t>LSB INDUSTRIES INC</t>
  </si>
  <si>
    <t>MANITOWOC CO INC</t>
  </si>
  <si>
    <t>MSA Safety Inc</t>
  </si>
  <si>
    <t>NATIONAL PENN BANCSHARES INC</t>
  </si>
  <si>
    <t>HORIZON BANCORP /IN/</t>
  </si>
  <si>
    <t>AARON'S INC</t>
  </si>
  <si>
    <t>NEVADA POWER CO</t>
  </si>
  <si>
    <t>FIRST MERCHANTS CORP</t>
  </si>
  <si>
    <t>FIRST COMMONWEALTH FINANCIAL CORP /PA/</t>
  </si>
  <si>
    <t>PNC FINANCIAL SERVICES GROUP  INC.</t>
  </si>
  <si>
    <t>VALLEY NATIONAL BANCORP</t>
  </si>
  <si>
    <t>RENASANT CORP</t>
  </si>
  <si>
    <t>Activision Blizzard  Inc.</t>
  </si>
  <si>
    <t>CCA INDUSTRIES INC</t>
  </si>
  <si>
    <t>COMMUNITY BANK SYSTEM  INC.</t>
  </si>
  <si>
    <t>TRIBUNE MEDIA CO</t>
  </si>
  <si>
    <t>UNITED BANKSHARES INC/WV</t>
  </si>
  <si>
    <t>NORTHERN TRUST CORP</t>
  </si>
  <si>
    <t>US ECOLOGY  INC.</t>
  </si>
  <si>
    <t>RPC INC</t>
  </si>
  <si>
    <t>OLD REPUBLIC INTERNATIONAL CORP</t>
  </si>
  <si>
    <t>UNISYS CORP</t>
  </si>
  <si>
    <t>SCIENTIFIC GAMES CORP</t>
  </si>
  <si>
    <t>SUFFOLK BANCORP</t>
  </si>
  <si>
    <t>PACIFICORP /OR/</t>
  </si>
  <si>
    <t>DREW INDUSTRIES Inc</t>
  </si>
  <si>
    <t>POPULAR INC</t>
  </si>
  <si>
    <t>TUTOR PERINI Corp</t>
  </si>
  <si>
    <t>WHITE MOUNTAINS INSURANCE GROUP LTD</t>
  </si>
  <si>
    <t>PFIZER INC</t>
  </si>
  <si>
    <t>ACURA PHARMACEUTICALS  INC</t>
  </si>
  <si>
    <t>BRINKS CO</t>
  </si>
  <si>
    <t>MGM Resorts International</t>
  </si>
  <si>
    <t>NBT BANCORP INC</t>
  </si>
  <si>
    <t>BRANDYWINE REALTY TRUST</t>
  </si>
  <si>
    <t>ASTEC INDUSTRIES INC</t>
  </si>
  <si>
    <t>WATTS WATER TECHNOLOGIES INC</t>
  </si>
  <si>
    <t>CARMIKE CINEMAS INC</t>
  </si>
  <si>
    <t>HEARTLAND EXPRESS INC</t>
  </si>
  <si>
    <t>WEBSTER FINANCIAL CORP</t>
  </si>
  <si>
    <t>AXIALL CORP/DE/</t>
  </si>
  <si>
    <t>AxoGen  Inc.</t>
  </si>
  <si>
    <t>PROGRESSIVE CORP/OH/</t>
  </si>
  <si>
    <t>PUBLIC SERVICE CO OF NEW MEXICO</t>
  </si>
  <si>
    <t>PUGET SOUND ENERGY INC</t>
  </si>
  <si>
    <t>ICAHN ENTERPRISES L.P.</t>
  </si>
  <si>
    <t>TCF FINANCIAL CORP</t>
  </si>
  <si>
    <t>NEWELL RUBBERMAID INC</t>
  </si>
  <si>
    <t>EBIX INC</t>
  </si>
  <si>
    <t>MBIA INC</t>
  </si>
  <si>
    <t>ACCURIDE CORP</t>
  </si>
  <si>
    <t>Andersons  Inc.</t>
  </si>
  <si>
    <t>WSFS FINANCIAL CORP</t>
  </si>
  <si>
    <t>HOMEFED CORP</t>
  </si>
  <si>
    <t>RAMCO GERSHENSON PROPERTIES TRUST</t>
  </si>
  <si>
    <t>Differential Brands Group Inc.</t>
  </si>
  <si>
    <t>HORACE MANN EDUCATORS CORP /DE/</t>
  </si>
  <si>
    <t>DENNYS CORP</t>
  </si>
  <si>
    <t>MERIT MEDICAL SYSTEMS INC</t>
  </si>
  <si>
    <t>CAESARS ENTERTAINMENT Corp</t>
  </si>
  <si>
    <t>SEACOR HOLDINGS INC /NEW/</t>
  </si>
  <si>
    <t>CATHAY GENERAL BANCORP</t>
  </si>
  <si>
    <t>CRYO CELL INTERNATIONAL INC</t>
  </si>
  <si>
    <t>BENCHMARK ELECTRONICS INC</t>
  </si>
  <si>
    <t>Monster Beverage Corp</t>
  </si>
  <si>
    <t>HELIX ENERGY SOLUTIONS GROUP INC</t>
  </si>
  <si>
    <t>ATMEL CORP</t>
  </si>
  <si>
    <t>OCWEN FINANCIAL CORP</t>
  </si>
  <si>
    <t>BOK FINANCIAL CORP ET AL</t>
  </si>
  <si>
    <t>NATUS MEDICAL INC</t>
  </si>
  <si>
    <t>CalAtlantic Group  Inc.</t>
  </si>
  <si>
    <t>OLD DOMINION FREIGHT LINE INC/VA</t>
  </si>
  <si>
    <t>ATLANTIC TELE NETWORK INC /DE</t>
  </si>
  <si>
    <t>WisdomTree Investments  Inc.</t>
  </si>
  <si>
    <t>Fossil Group  Inc.</t>
  </si>
  <si>
    <t>ORTHOFIX INTERNATIONAL N V</t>
  </si>
  <si>
    <t>COTT CORP /CN/</t>
  </si>
  <si>
    <t>ARIAD PHARMACEUTICALS INC</t>
  </si>
  <si>
    <t>CYNOSURE INC</t>
  </si>
  <si>
    <t>GENERAL CABLE CORP /DE/</t>
  </si>
  <si>
    <t>COLUMBIA BANKING SYSTEM INC</t>
  </si>
  <si>
    <t>OMEGA HEALTHCARE INVESTORS INC</t>
  </si>
  <si>
    <t>ON ASSIGNMENT INC</t>
  </si>
  <si>
    <t>IAC/INTERACTIVECORP</t>
  </si>
  <si>
    <t>REINSURANCE GROUP OF AMERICA INC</t>
  </si>
  <si>
    <t>SIERRA PACIFIC POWER CO</t>
  </si>
  <si>
    <t>LIBBEY INC</t>
  </si>
  <si>
    <t>AMERICAN NATIONAL INSURANCE CO /TX/</t>
  </si>
  <si>
    <t>SIMMONS FIRST NATIONAL CORP</t>
  </si>
  <si>
    <t>NEW YORK COMMUNITY BANCORP INC</t>
  </si>
  <si>
    <t>CBL &amp; ASSOCIATES PROPERTIES INC</t>
  </si>
  <si>
    <t>CBL &amp; ASSOCIATES LIMITED PARTNERSHIP</t>
  </si>
  <si>
    <t>ALBEMARLE CORP</t>
  </si>
  <si>
    <t>HEALTH NET INC</t>
  </si>
  <si>
    <t>FARO TECHNOLOGIES INC</t>
  </si>
  <si>
    <t>SONOCO PRODUCTS CO</t>
  </si>
  <si>
    <t>SOUTH JERSEY INDUSTRIES INC</t>
  </si>
  <si>
    <t>SIMPSON MANUFACTURING CO INC /CA/</t>
  </si>
  <si>
    <t>INVESTMENT TECHNOLOGY GROUP  INC.</t>
  </si>
  <si>
    <t>FIBROGEN INC</t>
  </si>
  <si>
    <t>APARTMENT INVESTMENT &amp; MANAGEMENT CO</t>
  </si>
  <si>
    <t>AIMCO PROPERTIES L.P.</t>
  </si>
  <si>
    <t>MIDAMERICAN ENERGY CO</t>
  </si>
  <si>
    <t>COVENANT TRANSPORTATION GROUP INC</t>
  </si>
  <si>
    <t>KNIGHT TRANSPORTATION INC</t>
  </si>
  <si>
    <t>BALCHEM CORP</t>
  </si>
  <si>
    <t>RENT A CENTER INC DE</t>
  </si>
  <si>
    <t>IBERIABANK CORP</t>
  </si>
  <si>
    <t>BURLINGTON NORTHERN SANTA FE  LLC</t>
  </si>
  <si>
    <t>EXELIXIS  INC.</t>
  </si>
  <si>
    <t>Opko Health  Inc.</t>
  </si>
  <si>
    <t>FIRST DEFIANCE FINANCIAL CORP</t>
  </si>
  <si>
    <t>BANNER CORP</t>
  </si>
  <si>
    <t>TENNANT CO</t>
  </si>
  <si>
    <t>TERADYNE  INC</t>
  </si>
  <si>
    <t>TEXAS PACIFIC LAND TRUST</t>
  </si>
  <si>
    <t>SCHWEITZER MAUDUIT INTERNATIONAL INC</t>
  </si>
  <si>
    <t>WATERS CORP /DE/</t>
  </si>
  <si>
    <t>SOUTHERN COPPER CORP/</t>
  </si>
  <si>
    <t>AMEREN CORP</t>
  </si>
  <si>
    <t>DEPOMED INC</t>
  </si>
  <si>
    <t>UNION ELECTRIC CO</t>
  </si>
  <si>
    <t>MEDIVATION  INC.</t>
  </si>
  <si>
    <t>UNITED FIRE GROUP INC</t>
  </si>
  <si>
    <t>POST APARTMENT HOMES LP</t>
  </si>
  <si>
    <t>ULTIMATE SOFTWARE GROUP INC</t>
  </si>
  <si>
    <t>INGRAM MICRO INC</t>
  </si>
  <si>
    <t>ALLEGHENY TECHNOLOGIES INC</t>
  </si>
  <si>
    <t>AMERISAFE INC</t>
  </si>
  <si>
    <t>IRON MOUNTAIN INC</t>
  </si>
  <si>
    <t>OGE ENERGY CORP.</t>
  </si>
  <si>
    <t>QUEST DIAGNOSTICS INC</t>
  </si>
  <si>
    <t>GENESIS ENERGY LP</t>
  </si>
  <si>
    <t>SIMON PROPERTY GROUP L P /DE/</t>
  </si>
  <si>
    <t>STEEL DYNAMICS INC</t>
  </si>
  <si>
    <t>LITHIA MOTORS INC</t>
  </si>
  <si>
    <t>W. P. Carey Inc.</t>
  </si>
  <si>
    <t>ENTERPRISE FINANCIAL SERVICES CORP</t>
  </si>
  <si>
    <t>CHICAGO BRIDGE &amp; IRON CO N V</t>
  </si>
  <si>
    <t>SLM CORP</t>
  </si>
  <si>
    <t>SEMPRA ENERGY</t>
  </si>
  <si>
    <t>SBA COMMUNICATIONS CORP</t>
  </si>
  <si>
    <t>SELECT MEDICAL CORP</t>
  </si>
  <si>
    <t>VIRGINIA ELECTRIC &amp; POWER CO</t>
  </si>
  <si>
    <t>L 3 COMMUNICATIONS CORP</t>
  </si>
  <si>
    <t>AMERICAN EQUITY INVESTMENT LIFE HOLDING CO</t>
  </si>
  <si>
    <t>SYNTEL INC</t>
  </si>
  <si>
    <t>Ryman Hospitality Properties  Inc.</t>
  </si>
  <si>
    <t>AMERICAN FINANCIAL GROUP INC</t>
  </si>
  <si>
    <t>CENTERPOINT ENERGY RESOURCES CORP</t>
  </si>
  <si>
    <t>EQUITY ONE  INC.</t>
  </si>
  <si>
    <t>CAPITAL SENIOR LIVING CORP</t>
  </si>
  <si>
    <t>ANNALY CAPITAL MANAGEMENT INC</t>
  </si>
  <si>
    <t>SONIC AUTOMOTIVE INC</t>
  </si>
  <si>
    <t>BAXTER INTERNATIONAL INC</t>
  </si>
  <si>
    <t>ANWORTH MORTGAGE ASSET CORP</t>
  </si>
  <si>
    <t>FelCor Lodging LP</t>
  </si>
  <si>
    <t>Graham Holdings Co</t>
  </si>
  <si>
    <t>WASHINGTON REAL ESTATE INVESTMENT TRUST</t>
  </si>
  <si>
    <t>MKS INSTRUMENTS INC</t>
  </si>
  <si>
    <t>MICROSTRATEGY INC</t>
  </si>
  <si>
    <t>WADDELL &amp; REED FINANCIAL INC</t>
  </si>
  <si>
    <t>ESSEX PORTFOLIO LP</t>
  </si>
  <si>
    <t>AMERICAN TOWER CORP /MA/</t>
  </si>
  <si>
    <t>L 3 COMMUNICATIONS HOLDINGS INC</t>
  </si>
  <si>
    <t>COSTAR GROUP INC</t>
  </si>
  <si>
    <t>WEST PHARMACEUTICAL SERVICES INC</t>
  </si>
  <si>
    <t>IMMERSION CORP</t>
  </si>
  <si>
    <t>CARTERS INC</t>
  </si>
  <si>
    <t>ENTERPRISE PRODUCTS PARTNERS L P</t>
  </si>
  <si>
    <t>WESTERN MASSACHUSETTS ELECTRIC CO</t>
  </si>
  <si>
    <t>SIMON PROPERTY GROUP INC /DE/</t>
  </si>
  <si>
    <t>SKECHERS USA INC</t>
  </si>
  <si>
    <t>HANDY &amp; HARMAN LTD.</t>
  </si>
  <si>
    <t>ENTERCOM COMMUNICATIONS CORP</t>
  </si>
  <si>
    <t>EAST WEST BANCORP INC</t>
  </si>
  <si>
    <t>Raptor Pharmaceutical Corp</t>
  </si>
  <si>
    <t>WILLIAMS COMPANIES INC</t>
  </si>
  <si>
    <t>TC PIPELINES LP</t>
  </si>
  <si>
    <t>WISCONSIN ELECTRIC POWER CO</t>
  </si>
  <si>
    <t>WISCONSIN PUBLIC SERVICE CORP</t>
  </si>
  <si>
    <t>STANCORP FINANCIAL GROUP INC</t>
  </si>
  <si>
    <t>ALLIANCE RESOURCE PARTNERS LP</t>
  </si>
  <si>
    <t>CardioGenics Holdings Inc.</t>
  </si>
  <si>
    <t>CLECO CORP</t>
  </si>
  <si>
    <t>Argo Group International Holdings  Ltd.</t>
  </si>
  <si>
    <t>HUTTIG BUILDING PRODUCTS INC</t>
  </si>
  <si>
    <t>WEB.COM GROUP  INC.</t>
  </si>
  <si>
    <t>HEALTHSTREAM INC</t>
  </si>
  <si>
    <t>MARKEL CORP</t>
  </si>
  <si>
    <t>BEASLEY BROADCAST GROUP INC</t>
  </si>
  <si>
    <t>MERCADOLIBRE INC</t>
  </si>
  <si>
    <t>ONCOR ELECTRIC DELIVERY TRANSITION BOND CO LLC</t>
  </si>
  <si>
    <t>EQUINIX INC</t>
  </si>
  <si>
    <t>SOHU COM INC</t>
  </si>
  <si>
    <t>QUALYS  INC.</t>
  </si>
  <si>
    <t>AMERICAN RIVER BANKSHARES</t>
  </si>
  <si>
    <t>IPG PHOTONICS CORP</t>
  </si>
  <si>
    <t>KERYX BIOPHARMACEUTICALS INC</t>
  </si>
  <si>
    <t>DUN &amp; BRADSTREET CORP/NW</t>
  </si>
  <si>
    <t>NASDAQ  INC.</t>
  </si>
  <si>
    <t>BROADWIND ENERGY  INC.</t>
  </si>
  <si>
    <t>CENTERPOINT ENERGY INC</t>
  </si>
  <si>
    <t>XENOPORT INC</t>
  </si>
  <si>
    <t>HORNBECK OFFSHORE SERVICES INC /LA</t>
  </si>
  <si>
    <t>SYNCHRONOSS TECHNOLOGIES INC</t>
  </si>
  <si>
    <t>Fidelity National Information Services  Inc.</t>
  </si>
  <si>
    <t>POWER SOLUTIONS INTERNATIONAL  INC.</t>
  </si>
  <si>
    <t>MEDGENICS  INC.</t>
  </si>
  <si>
    <t>CME GROUP INC.</t>
  </si>
  <si>
    <t>PSEG POWER LLC</t>
  </si>
  <si>
    <t>SOUTHERN POWER CO</t>
  </si>
  <si>
    <t>SUNOCO LOGISTICS PARTNERS L.P.</t>
  </si>
  <si>
    <t>NABORS INDUSTRIES LTD</t>
  </si>
  <si>
    <t>ENPRO INDUSTRIES  INC</t>
  </si>
  <si>
    <t>SAFETY INSURANCE GROUP INC</t>
  </si>
  <si>
    <t>SAIA INC</t>
  </si>
  <si>
    <t>ENDURANCE SPECIALTY HOLDINGS LTD</t>
  </si>
  <si>
    <t>MOLINA HEALTHCARE INC</t>
  </si>
  <si>
    <t>PRA GROUP INC</t>
  </si>
  <si>
    <t>ONCOR ELECTRIC DELIVERY CO LLC</t>
  </si>
  <si>
    <t>MOMENTA PHARMACEUTICALS INC</t>
  </si>
  <si>
    <t>ARBOR REALTY TRUST INC</t>
  </si>
  <si>
    <t>FORTINET INC</t>
  </si>
  <si>
    <t>ASSURED GUARANTY LTD</t>
  </si>
  <si>
    <t>MERRIMACK PHARMACEUTICALS INC</t>
  </si>
  <si>
    <t>GENWORTH FINANCIAL INC</t>
  </si>
  <si>
    <t>GREENHILL &amp; CO INC</t>
  </si>
  <si>
    <t>COHEN &amp; STEERS INC</t>
  </si>
  <si>
    <t>KITE REALTY GROUP TRUST</t>
  </si>
  <si>
    <t>Texas Roadhouse  Inc.</t>
  </si>
  <si>
    <t>Neenah Paper Inc</t>
  </si>
  <si>
    <t>ORMAT TECHNOLOGIES  INC.</t>
  </si>
  <si>
    <t>ExlService Holdings  Inc.</t>
  </si>
  <si>
    <t>LAS VEGAS SANDS CORP</t>
  </si>
  <si>
    <t>Demandware Inc</t>
  </si>
  <si>
    <t>QLIK TECHNOLOGIES INC</t>
  </si>
  <si>
    <t>Spirit Realty Capital  Inc.</t>
  </si>
  <si>
    <t>WEX Inc.</t>
  </si>
  <si>
    <t>BRIGHTCOVE INC</t>
  </si>
  <si>
    <t>Ridgewood Energy O Fund LLC</t>
  </si>
  <si>
    <t>Core-Mark Holding Company  Inc.</t>
  </si>
  <si>
    <t>SELECT MEDICAL HOLDINGS CORP</t>
  </si>
  <si>
    <t>KAPSTONE PAPER &amp; PACKAGING CORP</t>
  </si>
  <si>
    <t>Ridgewood Energy P Fund LLC</t>
  </si>
  <si>
    <t>Alon USA Energy  Inc.</t>
  </si>
  <si>
    <t>United States Oil Fund  LP</t>
  </si>
  <si>
    <t>HOME BANCSHARES INC</t>
  </si>
  <si>
    <t>NCI  Inc.</t>
  </si>
  <si>
    <t>Leidos Holdings  Inc.</t>
  </si>
  <si>
    <t>NSTAR ELECTRIC CO</t>
  </si>
  <si>
    <t>Alliance Holdings GP  L.P.</t>
  </si>
  <si>
    <t>Entergy Louisiana  LLC</t>
  </si>
  <si>
    <t>Liberty Interactive Corp</t>
  </si>
  <si>
    <t>Mellanox Technologies  Ltd.</t>
  </si>
  <si>
    <t>Breitburn Energy Partners LP</t>
  </si>
  <si>
    <t>KBR  INC.</t>
  </si>
  <si>
    <t>LEGACY RESERVES LP</t>
  </si>
  <si>
    <t>Innophos Holdings  Inc.</t>
  </si>
  <si>
    <t>BlackRock Inc.</t>
  </si>
  <si>
    <t>IMPERVA INC</t>
  </si>
  <si>
    <t>Globalstar  Inc.</t>
  </si>
  <si>
    <t>OneBeacon Insurance Group  Ltd.</t>
  </si>
  <si>
    <t>FireEye  Inc.</t>
  </si>
  <si>
    <t>AEROHIVE NETWORKS  INC</t>
  </si>
  <si>
    <t>Altra Industrial Motion Corp.</t>
  </si>
  <si>
    <t>UR-ENERGY INC</t>
  </si>
  <si>
    <t>United States Natural Gas Fund  LP</t>
  </si>
  <si>
    <t>National CineMedia  Inc.</t>
  </si>
  <si>
    <t>HFF  Inc.</t>
  </si>
  <si>
    <t>Domtar CORP</t>
  </si>
  <si>
    <t>Orexigen Therapeutics  Inc.</t>
  </si>
  <si>
    <t>Monogram Residential Trust  Inc.</t>
  </si>
  <si>
    <t>Monotype Imaging Holdings Inc.</t>
  </si>
  <si>
    <t>PharMerica CORP</t>
  </si>
  <si>
    <t>HeartWare International  Inc.</t>
  </si>
  <si>
    <t>Bank of New York Mellon Corp</t>
  </si>
  <si>
    <t>Blackstone Group L.P.</t>
  </si>
  <si>
    <t>Main Street Capital CORP</t>
  </si>
  <si>
    <t>Genpact LTD</t>
  </si>
  <si>
    <t>Cornerstone OnDemand Inc</t>
  </si>
  <si>
    <t>Oaktree Capital Group  LLC</t>
  </si>
  <si>
    <t>KKR &amp; Co. L.P.</t>
  </si>
  <si>
    <t>CALIX  INC</t>
  </si>
  <si>
    <t>MSCI Inc.</t>
  </si>
  <si>
    <t>Ophthotech Corp.</t>
  </si>
  <si>
    <t>Ampio Pharmaceuticals  Inc.</t>
  </si>
  <si>
    <t>Echo Global Logistics  Inc.</t>
  </si>
  <si>
    <t>Entergy Texas  Inc.</t>
  </si>
  <si>
    <t>SERVICEMASTER GLOBAL HOLDINGS INC</t>
  </si>
  <si>
    <t>RIDGEWOOD ENERGY Y FUND LLC</t>
  </si>
  <si>
    <t>Magnolia Solar Corp</t>
  </si>
  <si>
    <t>Retrophin  Inc.</t>
  </si>
  <si>
    <t>AGIOS PHARMACEUTICALS INC</t>
  </si>
  <si>
    <t>Proto Labs Inc</t>
  </si>
  <si>
    <t>Zendesk  Inc.</t>
  </si>
  <si>
    <t>TWO HARBORS INVESTMENT CORP.</t>
  </si>
  <si>
    <t>Apollo Commercial Real Estate Finance  Inc.</t>
  </si>
  <si>
    <t>New York REIT  Inc.</t>
  </si>
  <si>
    <t>GENERAC HOLDINGS INC.</t>
  </si>
  <si>
    <t>FCB FINANCIAL HOLDINGS  INC.</t>
  </si>
  <si>
    <t>Capital Bank Financial Corp.</t>
  </si>
  <si>
    <t>Hudson Pacific Properties  Inc.</t>
  </si>
  <si>
    <t>WILLIAMS PARTNERS L.P.</t>
  </si>
  <si>
    <t>LegacyTexas Financial Group  Inc.</t>
  </si>
  <si>
    <t>Customers Bancorp  Inc.</t>
  </si>
  <si>
    <t>Hudson Pacific Properties  L.P.</t>
  </si>
  <si>
    <t>STATE BANK FINANCIAL CORP</t>
  </si>
  <si>
    <t>Walker &amp; Dunlop  Inc.</t>
  </si>
  <si>
    <t>ExamWorks Group  Inc.</t>
  </si>
  <si>
    <t>Townsquare Media  Inc.</t>
  </si>
  <si>
    <t>BankUnited  Inc.</t>
  </si>
  <si>
    <t>RPX Corp</t>
  </si>
  <si>
    <t>Marathon Petroleum Corp</t>
  </si>
  <si>
    <t>AG Mortgage Investment Trust  Inc.</t>
  </si>
  <si>
    <t>Ultragenyx Pharmaceutical Inc.</t>
  </si>
  <si>
    <t>Acadia Healthcare Company  Inc.</t>
  </si>
  <si>
    <t>Xylem Inc.</t>
  </si>
  <si>
    <t>Fleetmatics Group plc</t>
  </si>
  <si>
    <t>Rose Rock Midstream  L.P.</t>
  </si>
  <si>
    <t>Northern Tier Energy LP</t>
  </si>
  <si>
    <t>Triumph Bancorp  Inc.</t>
  </si>
  <si>
    <t>Empire State Realty Trust  Inc.</t>
  </si>
  <si>
    <t>OvaScience  Inc.</t>
  </si>
  <si>
    <t>MPLX LP</t>
  </si>
  <si>
    <t>Sunoco LP</t>
  </si>
  <si>
    <t>TILE SHOP HOLDINGS  INC.</t>
  </si>
  <si>
    <t>CyrusOne Inc.</t>
  </si>
  <si>
    <t>Empire State Realty OP  L.P.</t>
  </si>
  <si>
    <t>Semler Scientific  Inc.</t>
  </si>
  <si>
    <t>New Residential Investment Corp.</t>
  </si>
  <si>
    <t>Alon USA Partners  LP</t>
  </si>
  <si>
    <t>Liberty Media Corp</t>
  </si>
  <si>
    <t>MASTEC INC</t>
  </si>
  <si>
    <t>TRI Pointe Group  Inc.</t>
  </si>
  <si>
    <t>American Homes 4 Rent</t>
  </si>
  <si>
    <t>SeaWorld Entertainment  Inc.</t>
  </si>
  <si>
    <t>Murphy USA Inc.</t>
  </si>
  <si>
    <t>New Home Co Inc.</t>
  </si>
  <si>
    <t>Third Point Reinsurance Ltd.</t>
  </si>
  <si>
    <t>Allergan plc</t>
  </si>
  <si>
    <t>Allegion plc</t>
  </si>
  <si>
    <t>RE/MAX Holdings  Inc.</t>
  </si>
  <si>
    <t>Mid-America Apartments  L.P.</t>
  </si>
  <si>
    <t>Western Refining Logistics  LP</t>
  </si>
  <si>
    <t>VALERO ENERGY PARTNERS LP</t>
  </si>
  <si>
    <t>Hilton Worldwide Holdings Inc.</t>
  </si>
  <si>
    <t>Civeo Corp</t>
  </si>
  <si>
    <t>GrubHub Inc.</t>
  </si>
  <si>
    <t>RAYONIER ADVANCED MATERIALS INC.</t>
  </si>
  <si>
    <t>FS Energy &amp; Power Fund II</t>
  </si>
  <si>
    <t>Dominion Midstream Partners  LP</t>
  </si>
  <si>
    <t>Dominion Gas Holdings  LLC</t>
  </si>
  <si>
    <t>New Senior Investment Group Inc.</t>
  </si>
  <si>
    <t>Beneficial Bancorp Inc.</t>
  </si>
  <si>
    <t>PennTex Midstream Partners  LP</t>
  </si>
  <si>
    <t>Restaurant Brands International Limited Partnership</t>
  </si>
  <si>
    <t>Restaurant Brands International Inc.</t>
  </si>
  <si>
    <t>Inovalon Holdings  Inc.</t>
  </si>
  <si>
    <t>Warner Chilcott Ltd</t>
  </si>
  <si>
    <t>Black Knight Financial Services  Inc.</t>
  </si>
  <si>
    <t>Community Healthcare Trust Inc</t>
  </si>
  <si>
    <t>Exterran Corp</t>
  </si>
  <si>
    <t>Kite Realty Group  L.P.</t>
  </si>
  <si>
    <t>Andina Acquisition Corp. II</t>
  </si>
  <si>
    <t>Ameren Illinois Co</t>
  </si>
  <si>
    <t>CLECO POWER LLC</t>
  </si>
  <si>
    <t>CHEMED CORP</t>
  </si>
  <si>
    <t>CHEMICAL FINANCIAL CORP</t>
  </si>
  <si>
    <t>SYSTEM ENERGY RESOURCES INC</t>
  </si>
  <si>
    <t>CINCINNATI FINANCIAL CORP</t>
  </si>
  <si>
    <t>WESBANCO INC</t>
  </si>
  <si>
    <t>COVANTA HOLDING CORP</t>
  </si>
  <si>
    <t>COMSTOCK RESOURCES INC</t>
  </si>
  <si>
    <t>CONNECTICUT LIGHT &amp; POWER CO</t>
  </si>
  <si>
    <t>TherapeuticsMD  Inc.</t>
  </si>
  <si>
    <t>COMERICA INC /NEW/</t>
  </si>
  <si>
    <t>Merck &amp; Co.  Inc.</t>
  </si>
  <si>
    <t>WESTAMERICA BANCORPORATION</t>
  </si>
  <si>
    <t>ECOLAB INC.</t>
  </si>
  <si>
    <t>PUBLIC SERVICE CO OF NEW HAMPSHIRE</t>
  </si>
  <si>
    <t>ALABAMA POWER CO</t>
  </si>
  <si>
    <t>INTERNATIONAL BANCSHARES CORP</t>
  </si>
  <si>
    <t>PEOPLES BANCORP INC</t>
  </si>
  <si>
    <t>TORCHMARK CORP</t>
  </si>
  <si>
    <t>EMPIRE DISTRICT ELECTRIC CO</t>
  </si>
  <si>
    <t>Matson  Inc.</t>
  </si>
  <si>
    <t>TECO ENERGY INC</t>
  </si>
  <si>
    <t>SUPREME INDUSTRIES INC</t>
  </si>
  <si>
    <t>Leidos  Inc.</t>
  </si>
  <si>
    <t>FLIR SYSTEMS INC</t>
  </si>
  <si>
    <t>SHENANDOAH TELECOMMUNICATIONS CO/VA/</t>
  </si>
  <si>
    <t>CORELOGIC  INC.</t>
  </si>
  <si>
    <t>FMC CORP</t>
  </si>
  <si>
    <t>FNB CORP/FL/</t>
  </si>
  <si>
    <t>GENERAL ELECTRIC CO</t>
  </si>
  <si>
    <t>GENUINE PARTS CO</t>
  </si>
  <si>
    <t>GEORGIA POWER CO</t>
  </si>
  <si>
    <t>GLATFELTER P H CO</t>
  </si>
  <si>
    <t>GRAY TELEVISION INC</t>
  </si>
  <si>
    <t>HESS CORP</t>
  </si>
  <si>
    <t>GULF POWER CO</t>
  </si>
  <si>
    <t>HARSCO CORP</t>
  </si>
  <si>
    <t>HARTFORD LIFE INSURANCE CO</t>
  </si>
  <si>
    <t>HERSHEY CO</t>
  </si>
  <si>
    <t>MAUI LAND &amp; PINEAPPLE CO INC</t>
  </si>
  <si>
    <t>ENTERGY CORP /DE/</t>
  </si>
  <si>
    <t>ENTERGY MISSISSIPPI INC</t>
  </si>
  <si>
    <t>MISSISSIPPI POWER CO</t>
  </si>
  <si>
    <t>APACHE CORP</t>
  </si>
  <si>
    <t>FULTON FINANCIAL CORP</t>
  </si>
  <si>
    <t>OLD NATIONAL BANCORP /IN/</t>
  </si>
  <si>
    <t>NCR CORP</t>
  </si>
  <si>
    <t>DST SYSTEMS INC</t>
  </si>
  <si>
    <t>ENTERGY NEW ORLEANS INC</t>
  </si>
  <si>
    <t>DOMINION RESOURCES INC /VA/</t>
  </si>
  <si>
    <t>MURPHY OIL CORP /DE</t>
  </si>
  <si>
    <t>NEWPARK RESOURCES INC</t>
  </si>
  <si>
    <t>SVB FINANCIAL GROUP</t>
  </si>
  <si>
    <t>EVERSOURCE ENERGY</t>
  </si>
  <si>
    <t>APACHE OFFSHORE INVESTMENT PARTNERSHIP</t>
  </si>
  <si>
    <t>NORTHWEST NATURAL GAS CO</t>
  </si>
  <si>
    <t>ENTERGY ARKANSAS INC</t>
  </si>
  <si>
    <t>NUCOR CORP</t>
  </si>
  <si>
    <t>OKLAHOMA GAS &amp; ELECTRIC CO</t>
  </si>
  <si>
    <t>SURGE COMPONENTS INC</t>
  </si>
  <si>
    <t>HANCOCK HOLDING CO</t>
  </si>
  <si>
    <t>SCANA CORP</t>
  </si>
  <si>
    <t>PACKAGING CORP OF AMERICA</t>
  </si>
  <si>
    <t>CITIZENS FINANCIAL GROUP INC/RI</t>
  </si>
  <si>
    <t>CAPSTEAD MORTGAGE CORP</t>
  </si>
  <si>
    <t>SJW CORP</t>
  </si>
  <si>
    <t>PENNSYLVANIA REAL ESTATE INVESTMENT TRUST</t>
  </si>
  <si>
    <t>PENTAIR plc</t>
  </si>
  <si>
    <t>PHH CORP</t>
  </si>
  <si>
    <t>AQUA AMERICA INC</t>
  </si>
  <si>
    <t>VISTA GOLD CORP</t>
  </si>
  <si>
    <t>WEC ENERGY GROUP  INC.</t>
  </si>
  <si>
    <t>PUBLIC SERVICE ENTERPRISE GROUP INC</t>
  </si>
  <si>
    <t>SPECTRANETICS CORP</t>
  </si>
  <si>
    <t>BROWN &amp; BROWN INC</t>
  </si>
  <si>
    <t>WERNER ENTERPRISES INC</t>
  </si>
  <si>
    <t>SKYWEST INC</t>
  </si>
  <si>
    <t>LEVEL 3 COMMUNICATIONS INC</t>
  </si>
  <si>
    <t>OCCIDENTAL PETROLEUM CORP /DE/</t>
  </si>
  <si>
    <t>M I HOMES INC</t>
  </si>
  <si>
    <t>PSYCHEMEDICS CORP</t>
  </si>
  <si>
    <t>CASH AMERICA INTERNATIONAL INC</t>
  </si>
  <si>
    <t>PUBLIC SERVICE ELECTRIC &amp; GAS CO</t>
  </si>
  <si>
    <t>CEDAR FAIR L P</t>
  </si>
  <si>
    <t>SUMMIT FINANCIAL GROUP INC</t>
  </si>
  <si>
    <t>CALGON CARBON Corp</t>
  </si>
  <si>
    <t>AIR METHODS CORP</t>
  </si>
  <si>
    <t>TERADATA CORP /DE/</t>
  </si>
  <si>
    <t>VCA INC</t>
  </si>
  <si>
    <t>ALBANY INTERNATIONAL CORP /DE/</t>
  </si>
  <si>
    <t>BOSTON PRIVATE FINANCIAL HOLDINGS INC</t>
  </si>
  <si>
    <t>SOTHEBYS</t>
  </si>
  <si>
    <t>CITIGROUP INC</t>
  </si>
  <si>
    <t>FREEPORT-MCMORAN INC</t>
  </si>
  <si>
    <t>E.W. SCRIPPS Co</t>
  </si>
  <si>
    <t>RLI CORP</t>
  </si>
  <si>
    <t>TRIMAS CORP</t>
  </si>
  <si>
    <t>ENCORE WIRE CORP</t>
  </si>
  <si>
    <t>EXPONENT INC</t>
  </si>
  <si>
    <t>ROWAN COMPANIES PLC</t>
  </si>
  <si>
    <t>POTASH CORP OF SASKATCHEWAN INC</t>
  </si>
  <si>
    <t>UNITED COMMUNITY BANKS INC</t>
  </si>
  <si>
    <t>HCA Holdings  Inc.</t>
  </si>
  <si>
    <t>RELIANCE STEEL &amp; ALUMINUM CO</t>
  </si>
  <si>
    <t>SAN DIEGO GAS &amp; ELECTRIC CO</t>
  </si>
  <si>
    <t>IONIS PHARMACEUTICALS INC</t>
  </si>
  <si>
    <t>HARTFORD FINANCIAL SERVICES GROUP INC/DE</t>
  </si>
  <si>
    <t>XL GROUP PLC</t>
  </si>
  <si>
    <t>MGIC INVESTMENT CORP</t>
  </si>
  <si>
    <t>MDC PARTNERS INC</t>
  </si>
  <si>
    <t>KIMCO REALTY CORP</t>
  </si>
  <si>
    <t>WABASH NATIONAL CORP /DE</t>
  </si>
  <si>
    <t>Southeastern Bank Financial CORP</t>
  </si>
  <si>
    <t>AGCO CORP /DE</t>
  </si>
  <si>
    <t>SPX CORP</t>
  </si>
  <si>
    <t>BIOCRYST PHARMACEUTICALS INC</t>
  </si>
  <si>
    <t>ROPER TECHNOLOGIES INC</t>
  </si>
  <si>
    <t>ICU MEDICAL INC/DE</t>
  </si>
  <si>
    <t>REVLON INC /DE/</t>
  </si>
  <si>
    <t>PRIVATEBANCORP  INC</t>
  </si>
  <si>
    <t>REVLON CONSUMER PRODUCTS CORP</t>
  </si>
  <si>
    <t>RADIAN GROUP INC</t>
  </si>
  <si>
    <t>CHART INDUSTRIES INC</t>
  </si>
  <si>
    <t>ARCBEST CORP /DE/</t>
  </si>
  <si>
    <t>JARDEN CORP</t>
  </si>
  <si>
    <t>Chubb Ltd</t>
  </si>
  <si>
    <t>O REILLY AUTOMOTIVE INC</t>
  </si>
  <si>
    <t>POST PROPERTIES INC</t>
  </si>
  <si>
    <t>STONE ENERGY CORP</t>
  </si>
  <si>
    <t>BADGER METER INC</t>
  </si>
  <si>
    <t>ULTRATECH INC</t>
  </si>
  <si>
    <t>MID AMERICA APARTMENT COMMUNITIES INC</t>
  </si>
  <si>
    <t>SINCLAIR BROADCAST GROUP INC</t>
  </si>
  <si>
    <t>STEVEN MADDEN  LTD.</t>
  </si>
  <si>
    <t>AVALONBAY COMMUNITIES INC</t>
  </si>
  <si>
    <t>INTEGRA LIFESCIENCES HOLDINGS CORP</t>
  </si>
  <si>
    <t>SOUTH CAROLINA ELECTRIC &amp; GAS CO</t>
  </si>
  <si>
    <t>CENVEO  INC</t>
  </si>
  <si>
    <t>ESSEX PROPERTY TRUST INC</t>
  </si>
  <si>
    <t>SOUTHERN CALIFORNIA GAS CO</t>
  </si>
  <si>
    <t>LIBERTY PROPERTY TRUST</t>
  </si>
  <si>
    <t>LIBERTY PROPERTY LIMITED PARTNERSHIP</t>
  </si>
  <si>
    <t>SOUTHERN CO</t>
  </si>
  <si>
    <t>INLAND REAL ESTATE CORP</t>
  </si>
  <si>
    <t>FelCor Lodging Trust Inc</t>
  </si>
  <si>
    <t>GEO GROUP INC</t>
  </si>
  <si>
    <t>OMNICELL  Inc</t>
  </si>
  <si>
    <t>DAVITA HEALTHCARE PARTNERS INC.</t>
  </si>
  <si>
    <t>REDWOOD TRUST INC</t>
  </si>
  <si>
    <t>KFORCE INC</t>
  </si>
  <si>
    <t>STANDARD MOTOR PRODUCTS INC</t>
  </si>
  <si>
    <t>ACI WORLDWIDE  INC.</t>
  </si>
  <si>
    <t>HUB GROUP INC</t>
  </si>
  <si>
    <t>STEWART INFORMATION SERVICES CORP</t>
  </si>
  <si>
    <t>DENBURY RESOURCES INC</t>
  </si>
  <si>
    <t>POOL CORP</t>
  </si>
  <si>
    <t>ARCH CAPITAL GROUP LTD.</t>
  </si>
  <si>
    <t>TAMPA ELECTRIC CO</t>
  </si>
  <si>
    <t>TOOTSIE ROLL INDUSTRIES INC</t>
  </si>
  <si>
    <t>AFFILIATED MANAGERS GROUP  INC.</t>
  </si>
  <si>
    <t>UNIVERSAL DISPLAY CORP \PA\</t>
  </si>
  <si>
    <t>Golden Minerals Co</t>
  </si>
  <si>
    <t>ANSYS INC</t>
  </si>
  <si>
    <t>UMB FINANCIAL CORP</t>
  </si>
  <si>
    <t>PEGASYSTEMS INC</t>
  </si>
  <si>
    <t>MARATHON OIL CORP</t>
  </si>
  <si>
    <t>PENSKE AUTOMOTIVE GROUP  INC.</t>
  </si>
  <si>
    <t>VEECO INSTRUMENTS INC</t>
  </si>
  <si>
    <t>FIRST INDUSTRIAL LP</t>
  </si>
  <si>
    <t>LUMINEX CORP</t>
  </si>
  <si>
    <t>VALERO ENERGY CORP/TX</t>
  </si>
  <si>
    <t>CALIFORNIA WATER SERVICE GROUP</t>
  </si>
  <si>
    <t>CALLIDUS SOFTWARE INC</t>
  </si>
  <si>
    <t>CEPHEID</t>
  </si>
  <si>
    <t>AMETEK INC/</t>
  </si>
  <si>
    <t>JONES LANG LASALLE INC</t>
  </si>
  <si>
    <t>DRIL-QUIP INC</t>
  </si>
  <si>
    <t>W R GRACE &amp; CO</t>
  </si>
  <si>
    <t>EPR PROPERTIES</t>
  </si>
  <si>
    <t>RITCHIE BROS AUCTIONEERS INC</t>
  </si>
  <si>
    <t>COLUMBIA SPORTSWEAR CO</t>
  </si>
  <si>
    <t>CABLEVISION SYSTEMS CORP /NY</t>
  </si>
  <si>
    <t>EMCOR GROUP INC</t>
  </si>
  <si>
    <t>COGNIZANT TECHNOLOGY SOLUTIONS CORP</t>
  </si>
  <si>
    <t>MOODYS CORP /DE/</t>
  </si>
  <si>
    <t>BUFFALO WILD WINGS INC</t>
  </si>
  <si>
    <t>LKQ CORP</t>
  </si>
  <si>
    <t>ACHILLION PHARMACEUTICALS INC</t>
  </si>
  <si>
    <t>PLAINS ALL AMERICAN PIPELINE LP</t>
  </si>
  <si>
    <t>CORRECTIONS CORP OF AMERICA</t>
  </si>
  <si>
    <t>UMPQUA HOLDINGS CORP</t>
  </si>
  <si>
    <t>NAUTILUS  INC.</t>
  </si>
  <si>
    <t>UNITED THERAPEUTICS Corp</t>
  </si>
  <si>
    <t>LAMAR ADVERTISING CO/NEW</t>
  </si>
  <si>
    <t>UNITED PARCEL SERVICE INC</t>
  </si>
  <si>
    <t>PROGRESS ENERGY INC</t>
  </si>
  <si>
    <t>ALIGN TECHNOLOGY INC</t>
  </si>
  <si>
    <t>METLIFE INC</t>
  </si>
  <si>
    <t>ALLIANCE DATA SYSTEMS CORP</t>
  </si>
  <si>
    <t>INSMED Inc</t>
  </si>
  <si>
    <t>MATERION Corp</t>
  </si>
  <si>
    <t>TIME WARNER INC.</t>
  </si>
  <si>
    <t>NuStar Energy L.P.</t>
  </si>
  <si>
    <t>VISTEON CORP</t>
  </si>
  <si>
    <t>Belmond Ltd.</t>
  </si>
  <si>
    <t>TTM TECHNOLOGIES INC</t>
  </si>
  <si>
    <t>ELLIE MAE INC</t>
  </si>
  <si>
    <t>VMWARE  INC.</t>
  </si>
  <si>
    <t>BLACK HILLS CORP /SD/</t>
  </si>
  <si>
    <t>Bunge LTD</t>
  </si>
  <si>
    <t>LAKE AREA CORN PROCESSORS LLC</t>
  </si>
  <si>
    <t>WAGEWORKS  INC.</t>
  </si>
  <si>
    <t>MGE ENERGY INC</t>
  </si>
  <si>
    <t>WESTWOOD HOLDINGS GROUP INC</t>
  </si>
  <si>
    <t>NOBLE CORP</t>
  </si>
  <si>
    <t>CHANNELADVISOR CORP</t>
  </si>
  <si>
    <t>DORCHESTER MINERALS  L.P.</t>
  </si>
  <si>
    <t>HERBALIFE LTD.</t>
  </si>
  <si>
    <t>INFINITY PROPERTY &amp; CASUALTY CORP</t>
  </si>
  <si>
    <t>DIGITALGLOBE  INC.</t>
  </si>
  <si>
    <t>PROOFPOINT INC</t>
  </si>
  <si>
    <t>NuStar GP Holdings  LLC</t>
  </si>
  <si>
    <t>MEDICINOVA INC</t>
  </si>
  <si>
    <t>PIPER JAFFRAY COMPANIES</t>
  </si>
  <si>
    <t>WHITING PETROLEUM CORP</t>
  </si>
  <si>
    <t>NELNET INC</t>
  </si>
  <si>
    <t>Intersect ENT  Inc.</t>
  </si>
  <si>
    <t>NEW YORK MORTGAGE TRUST INC</t>
  </si>
  <si>
    <t>MARKETAXESS HOLDINGS INC</t>
  </si>
  <si>
    <t>ACCELERON PHARMA INC</t>
  </si>
  <si>
    <t>Hercules Capital  Inc.</t>
  </si>
  <si>
    <t>WINDSTREAM HOLDINGS  INC.</t>
  </si>
  <si>
    <t>DOMINOS PIZZA INC</t>
  </si>
  <si>
    <t>Spok Holdings  Inc</t>
  </si>
  <si>
    <t>bluebird bio  Inc.</t>
  </si>
  <si>
    <t>DreamWorks Animation SKG  Inc.</t>
  </si>
  <si>
    <t>Tableau Software Inc</t>
  </si>
  <si>
    <t>Lazard Ltd</t>
  </si>
  <si>
    <t>ITC Holdings Corp.</t>
  </si>
  <si>
    <t>CF Industries Holdings  Inc.</t>
  </si>
  <si>
    <t>Lazard Group LLC</t>
  </si>
  <si>
    <t>Duke Energy CORP</t>
  </si>
  <si>
    <t>BOISE CASCADE Co</t>
  </si>
  <si>
    <t>Clear Channel Outdoor Holdings  Inc.</t>
  </si>
  <si>
    <t>DCP Midstream Partners  LP</t>
  </si>
  <si>
    <t>H&amp;E Equipment Services  Inc.</t>
  </si>
  <si>
    <t>SYNERGY PHARMACEUTICALS  INC.</t>
  </si>
  <si>
    <t>CONCHO RESOURCES INC</t>
  </si>
  <si>
    <t>HOMELAND ENERGY SOLUTIONS LLC</t>
  </si>
  <si>
    <t>China Biologic Products  Inc.</t>
  </si>
  <si>
    <t>TETRAPHASE PHARMACEUTICALS INC</t>
  </si>
  <si>
    <t>ServiceNow  Inc.</t>
  </si>
  <si>
    <t>Spectra Energy Corp.</t>
  </si>
  <si>
    <t>ENTELLUS MEDICAL INC</t>
  </si>
  <si>
    <t>Guidance Software  Inc.</t>
  </si>
  <si>
    <t>DYNEGY INC.</t>
  </si>
  <si>
    <t>Fortress Investment Group LLC</t>
  </si>
  <si>
    <t>Spectra Energy Partners  LP</t>
  </si>
  <si>
    <t>Vulcan Materials CO</t>
  </si>
  <si>
    <t>Pacira Pharmaceuticals  Inc.</t>
  </si>
  <si>
    <t>LPL Financial Holdings Inc.</t>
  </si>
  <si>
    <t>iHeartMedia  Inc.</t>
  </si>
  <si>
    <t>CDW Corp</t>
  </si>
  <si>
    <t>CHIMERA INVESTMENT CORP</t>
  </si>
  <si>
    <t>American Water Works Company  Inc.</t>
  </si>
  <si>
    <t>VWR Corp</t>
  </si>
  <si>
    <t>Western Gas Partners LP</t>
  </si>
  <si>
    <t>Relypsa Inc</t>
  </si>
  <si>
    <t>Apple Hospitality REIT  Inc.</t>
  </si>
  <si>
    <t>Iridium Communications Inc.</t>
  </si>
  <si>
    <t>Western Gas Equity Partners  LP</t>
  </si>
  <si>
    <t>Radius Health  Inc.</t>
  </si>
  <si>
    <t>Scripps Networks Interactive  Inc.</t>
  </si>
  <si>
    <t>Esperion Therapeutics  Inc.</t>
  </si>
  <si>
    <t>Digimarc CORP</t>
  </si>
  <si>
    <t>Transocean Ltd.</t>
  </si>
  <si>
    <t>iHeartMedia Capital I  LLC</t>
  </si>
  <si>
    <t>Noble Corp plc</t>
  </si>
  <si>
    <t>STARWOOD PROPERTY TRUST  INC.</t>
  </si>
  <si>
    <t>Primerica  Inc.</t>
  </si>
  <si>
    <t>STAG Industrial  Inc.</t>
  </si>
  <si>
    <t>Oasis Petroleum Inc.</t>
  </si>
  <si>
    <t>AIR LEASE CORP</t>
  </si>
  <si>
    <t>TESORO LOGISTICS LP</t>
  </si>
  <si>
    <t>Starz</t>
  </si>
  <si>
    <t>RLJ Lodging Trust</t>
  </si>
  <si>
    <t>AMC Networks Inc.</t>
  </si>
  <si>
    <t>Artisan Partners Asset Management Inc.</t>
  </si>
  <si>
    <t>WPX ENERGY  INC.</t>
  </si>
  <si>
    <t>Fortune Brands Home &amp; Security  Inc.</t>
  </si>
  <si>
    <t>Alkermes plc.</t>
  </si>
  <si>
    <t>MARRIOTT VACATIONS WORLDWIDE Corp</t>
  </si>
  <si>
    <t>Tronox Ltd</t>
  </si>
  <si>
    <t>Tumi Holdings  Inc.</t>
  </si>
  <si>
    <t>Voya Financial  Inc.</t>
  </si>
  <si>
    <t>Gogo Inc.</t>
  </si>
  <si>
    <t>STORE CAPITAL Corp</t>
  </si>
  <si>
    <t>Silver Bay Realty Trust Corp.</t>
  </si>
  <si>
    <t>Prothena Corp plc</t>
  </si>
  <si>
    <t>Starz  LLC</t>
  </si>
  <si>
    <t>Taylor Morrison Home Corp</t>
  </si>
  <si>
    <t>Independent Bank Group  Inc.</t>
  </si>
  <si>
    <t>Pinnacle Foods Inc.</t>
  </si>
  <si>
    <t>Intra-Cellular Therapies  Inc.</t>
  </si>
  <si>
    <t>Rexford Industrial Realty  Inc.</t>
  </si>
  <si>
    <t>Sprouts Farmers Market  Inc.</t>
  </si>
  <si>
    <t>Benefitfocus Inc.</t>
  </si>
  <si>
    <t>Corporate Office Properties  L.P.</t>
  </si>
  <si>
    <t>New Media Investment Group Inc.</t>
  </si>
  <si>
    <t>Houghton Mifflin Harcourt Co</t>
  </si>
  <si>
    <t>PLAINS GP HOLDINGS LP</t>
  </si>
  <si>
    <t>PERRIGO Co plc</t>
  </si>
  <si>
    <t>WINDSTREAM SERVICES  LLC</t>
  </si>
  <si>
    <t>RSP Permian  Inc.</t>
  </si>
  <si>
    <t>Rice Energy Inc.</t>
  </si>
  <si>
    <t>NAVIENT CORP</t>
  </si>
  <si>
    <t>KANGE CORP</t>
  </si>
  <si>
    <t>La Quinta Holdings Inc.</t>
  </si>
  <si>
    <t>Zoe's Kitchen  Inc.</t>
  </si>
  <si>
    <t>Arista Networks  Inc.</t>
  </si>
  <si>
    <t>Synchrony Financial</t>
  </si>
  <si>
    <t>Paramount Group  Inc.</t>
  </si>
  <si>
    <t>Transocean Partners LLC</t>
  </si>
  <si>
    <t>INC Research Holdings  Inc.</t>
  </si>
  <si>
    <t>PRA Health Sciences  Inc.</t>
  </si>
  <si>
    <t>Rice Midstream Partners LP</t>
  </si>
  <si>
    <t>Chemours Co</t>
  </si>
  <si>
    <t>Babcock &amp; Wilcox Enterprises  Inc.</t>
  </si>
  <si>
    <t>Gannett Co.  Inc.</t>
  </si>
  <si>
    <t>DUKE ENERGY PROGRESS  LLC.</t>
  </si>
  <si>
    <t>CENTURYLINK  INC</t>
  </si>
  <si>
    <t>Duke Energy Ohio  Inc.</t>
  </si>
  <si>
    <t>FRONTIER COMMUNICATIONS CORP</t>
  </si>
  <si>
    <t>COCA COLA CO</t>
  </si>
  <si>
    <t>CURTISS WRIGHT CORP</t>
  </si>
  <si>
    <t>RR Donnelley &amp; Sons Co</t>
  </si>
  <si>
    <t>Duke Energy Carolinas  LLC</t>
  </si>
  <si>
    <t>SENSIENT TECHNOLOGIES CORP</t>
  </si>
  <si>
    <t>Ensco plc</t>
  </si>
  <si>
    <t>RANGE RESOURCES CORP</t>
  </si>
  <si>
    <t>STARWOOD HOTEL &amp; RESORTS WORLDWIDE  INC</t>
  </si>
  <si>
    <t>UNIVERSAL HEALTH SERVICES INC</t>
  </si>
  <si>
    <t>FIFTH THIRD BANCORP</t>
  </si>
  <si>
    <t>PROTECTIVE LIFE CORP</t>
  </si>
  <si>
    <t>US BANCORP \DE\</t>
  </si>
  <si>
    <t>FIRST HORIZON NATIONAL CORP</t>
  </si>
  <si>
    <t>DUKE ENERGY FLORIDA  LLC.</t>
  </si>
  <si>
    <t>AFLAC INC</t>
  </si>
  <si>
    <t>TESORO CORP /NEW/</t>
  </si>
  <si>
    <t>INTERNATIONAL PAPER CO /NEW/</t>
  </si>
  <si>
    <t>AMERIPRISE CERTIFICATE CO</t>
  </si>
  <si>
    <t>LEGGETT &amp; PLATT INC</t>
  </si>
  <si>
    <t>LINCOLN ELECTRIC HOLDINGS INC</t>
  </si>
  <si>
    <t>LINCOLN NATIONAL CORP</t>
  </si>
  <si>
    <t>MADISON GAS &amp; ELECTRIC CO</t>
  </si>
  <si>
    <t>MATTEL INC /DE/</t>
  </si>
  <si>
    <t>MCDONALDS CORP</t>
  </si>
  <si>
    <t>CIGNA CORP</t>
  </si>
  <si>
    <t>CENTRAL PACIFIC FINANCIAL CORP</t>
  </si>
  <si>
    <t>GP STRATEGIES CORP</t>
  </si>
  <si>
    <t>CINCINNATI BELL INC</t>
  </si>
  <si>
    <t>TOTAL SYSTEM SERVICES INC</t>
  </si>
  <si>
    <t>RIVERSOURCE LIFE INSURANCE CO</t>
  </si>
  <si>
    <t>PARKWAY PROPERTIES INC</t>
  </si>
  <si>
    <t>REPLIGEN CORP</t>
  </si>
  <si>
    <t>SOUTHWESTERN ENERGY CO</t>
  </si>
  <si>
    <t>iHeartCommunications  Inc.</t>
  </si>
  <si>
    <t>Celldex Therapeutics  Inc.</t>
  </si>
  <si>
    <t>EXPEDITORS INTERNATIONAL OF WASHINGTON INC</t>
  </si>
  <si>
    <t>OWENS &amp; MINOR INC/VA/</t>
  </si>
  <si>
    <t>MCGRATH RENTCORP</t>
  </si>
  <si>
    <t>PARKER DRILLING CO /DE/</t>
  </si>
  <si>
    <t>ALTRIA GROUP  INC.</t>
  </si>
  <si>
    <t>INDEPENDENT BANK CORP</t>
  </si>
  <si>
    <t>CSC HOLDINGS LLC</t>
  </si>
  <si>
    <t>HEALTHSOUTH CORP</t>
  </si>
  <si>
    <t>LEPERCQ CORPORATE INCOME FUND L P</t>
  </si>
  <si>
    <t>UNIT CORP</t>
  </si>
  <si>
    <t>BUCKEYE PARTNERS  L.P.</t>
  </si>
  <si>
    <t>Duke Energy Indiana  LLC</t>
  </si>
  <si>
    <t>QUAKER CHEMICAL CORP</t>
  </si>
  <si>
    <t>AMERIPRISE FINANCIAL INC</t>
  </si>
  <si>
    <t>CLEAN HARBORS INC</t>
  </si>
  <si>
    <t>AAON INC</t>
  </si>
  <si>
    <t>QLT INC/BC</t>
  </si>
  <si>
    <t>SILGAN HOLDINGS INC</t>
  </si>
  <si>
    <t>CORPORATE OFFICE PROPERTIES TRUST</t>
  </si>
  <si>
    <t>B/E AEROSPACE INC</t>
  </si>
  <si>
    <t>GRANITE CONSTRUCTION INC</t>
  </si>
  <si>
    <t>GLACIER BANCORP INC</t>
  </si>
  <si>
    <t>Sarepta Therapeutics  Inc.</t>
  </si>
  <si>
    <t>TERRA NITROGEN CO L P /DE</t>
  </si>
  <si>
    <t>SEABOARD CORP /DE/</t>
  </si>
  <si>
    <t>Union Bankshares Corp</t>
  </si>
  <si>
    <t>FIRST DATA CORP</t>
  </si>
  <si>
    <t>SUPERIOR ENERGY SERVICES INC</t>
  </si>
  <si>
    <t>CHEESECAKE FACTORY INC</t>
  </si>
  <si>
    <t>FTI CONSULTING INC</t>
  </si>
  <si>
    <t>CHESAPEAKE ENERGY CORP</t>
  </si>
  <si>
    <t>AMSURG CORP</t>
  </si>
  <si>
    <t>APTARGROUP INC</t>
  </si>
  <si>
    <t>AMARIN CORP PLC\UK</t>
  </si>
  <si>
    <t>LAMAR MEDIA CORP/DE</t>
  </si>
  <si>
    <t>TITAN INTERNATIONAL INC</t>
  </si>
  <si>
    <t>GENTHERM Inc</t>
  </si>
  <si>
    <t>EQUITY RESIDENTIAL</t>
  </si>
  <si>
    <t>BOYD GAMING CORP</t>
  </si>
  <si>
    <t>DIAMOND HILL INVESTMENT GROUP INC</t>
  </si>
  <si>
    <t>LEXINGTON REALTY TRUST</t>
  </si>
  <si>
    <t>PARTNERRE LTD</t>
  </si>
  <si>
    <t>BELDEN INC.</t>
  </si>
  <si>
    <t>EASTMAN CHEMICAL CO</t>
  </si>
  <si>
    <t>OLYMPIC STEEL INC</t>
  </si>
  <si>
    <t>LA JOLLA PHARMACEUTICAL CO</t>
  </si>
  <si>
    <t>FIRST INDUSTRIAL REALTY TRUST INC</t>
  </si>
  <si>
    <t>BB&amp;T CORP</t>
  </si>
  <si>
    <t>ERIE INDEMNITY CO</t>
  </si>
  <si>
    <t>SOUTHWEST GAS CORP</t>
  </si>
  <si>
    <t>ADVANCED ENERGY INDUSTRIES INC</t>
  </si>
  <si>
    <t>CAPITAL ONE FINANCIAL CORP</t>
  </si>
  <si>
    <t>ERP OPERATING LTD PARTNERSHIP</t>
  </si>
  <si>
    <t>CHEVRON CORP</t>
  </si>
  <si>
    <t>SOVRAN SELF STORAGE INC</t>
  </si>
  <si>
    <t>HANOVER INSURANCE GROUP  INC.</t>
  </si>
  <si>
    <t>SUPERIOR UNIFORM GROUP INC</t>
  </si>
  <si>
    <t>TELEFLEX INC</t>
  </si>
  <si>
    <t>THERMO FISHER SCIENTIFIC INC.</t>
  </si>
  <si>
    <t>E TRADE FINANCIAL Corp</t>
  </si>
  <si>
    <t>TENNECO INC</t>
  </si>
  <si>
    <t>VALMONT INDUSTRIES INC</t>
  </si>
  <si>
    <t>AVISTA CORP</t>
  </si>
  <si>
    <t>TELEPHONE &amp; DATA SYSTEMS INC /DE/</t>
  </si>
  <si>
    <t>AMERICAN STATES WATER CO</t>
  </si>
  <si>
    <t>JANUS CAPITAL GROUP INC</t>
  </si>
  <si>
    <t>MACK CALI REALTY L P</t>
  </si>
  <si>
    <t>BLUCORA  INC.</t>
  </si>
  <si>
    <t>SENIOR HOUSING PROPERTIES TRUST</t>
  </si>
  <si>
    <t>WISCONSIN POWER &amp; LIGHT CO</t>
  </si>
  <si>
    <t>Innoviva  Inc.</t>
  </si>
  <si>
    <t>ENCORE CAPITAL GROUP INC</t>
  </si>
  <si>
    <t>SPS COMMERCE INC</t>
  </si>
  <si>
    <t>ON SEMICONDUCTOR CORP</t>
  </si>
  <si>
    <t>NORTHWEST PIPELINE LLC</t>
  </si>
  <si>
    <t>NANOSPHERE INC</t>
  </si>
  <si>
    <t>ZIOPHARM ONCOLOGY INC</t>
  </si>
  <si>
    <t>QEP RESOURCES  INC.</t>
  </si>
  <si>
    <t>NETSUITE INC</t>
  </si>
  <si>
    <t>BAB  INC.</t>
  </si>
  <si>
    <t>EXACT SCIENCES CORP</t>
  </si>
  <si>
    <t>FLOWERS FOODS INC</t>
  </si>
  <si>
    <t>FMC TECHNOLOGIES INC</t>
  </si>
  <si>
    <t>AMN HEALTHCARE SERVICES INC</t>
  </si>
  <si>
    <t>GREAT PLAINS ENERGY INC</t>
  </si>
  <si>
    <t>COGENT COMMUNICATIONS HOLDINGS  INC.</t>
  </si>
  <si>
    <t>POTBELLY CORP</t>
  </si>
  <si>
    <t>WESTLAKE CHEMICAL CORP</t>
  </si>
  <si>
    <t>Hilltop Holdings Inc.</t>
  </si>
  <si>
    <t>FIRST SOLAR  INC.</t>
  </si>
  <si>
    <t>BLACKBAUD INC</t>
  </si>
  <si>
    <t>HOLLY ENERGY PARTNERS LP</t>
  </si>
  <si>
    <t>ARES CAPITAL CORP</t>
  </si>
  <si>
    <t>RUCKUS WIRELESS INC</t>
  </si>
  <si>
    <t>Summer Infant  Inc.</t>
  </si>
  <si>
    <t>TESLA MOTORS INC</t>
  </si>
  <si>
    <t>Kraton Performance Polymers  Inc.</t>
  </si>
  <si>
    <t>YELP INC</t>
  </si>
  <si>
    <t>REALOGY GROUP LLC</t>
  </si>
  <si>
    <t>Evercore Partners Inc.</t>
  </si>
  <si>
    <t>Triangle Capital CORP</t>
  </si>
  <si>
    <t>Cinemark Holdings  Inc.</t>
  </si>
  <si>
    <t>Discover Financial Services</t>
  </si>
  <si>
    <t>REALOGY HOLDINGS CORP.</t>
  </si>
  <si>
    <t>HUBSPOT INC</t>
  </si>
  <si>
    <t>RETAIL OPPORTUNITY INVESTMENTS CORP</t>
  </si>
  <si>
    <t>Thompson Creek Metals Co Inc.</t>
  </si>
  <si>
    <t>EchoStar CORP</t>
  </si>
  <si>
    <t>Solar Capital Ltd.</t>
  </si>
  <si>
    <t>Hatteras Financial Corp</t>
  </si>
  <si>
    <t>ServisFirst Bancshares  Inc.</t>
  </si>
  <si>
    <t>ANTERO RESOURCES Corp</t>
  </si>
  <si>
    <t>HSN  Inc.</t>
  </si>
  <si>
    <t>TANDEM DIABETES CARE INC</t>
  </si>
  <si>
    <t>MRC GLOBAL INC.</t>
  </si>
  <si>
    <t>Verisk Analytics  Inc.</t>
  </si>
  <si>
    <t>Bluerock Residential Growth REIT  Inc.</t>
  </si>
  <si>
    <t>Tropicana Entertainment Inc.</t>
  </si>
  <si>
    <t>Gigamon Inc.</t>
  </si>
  <si>
    <t>BWX Technologies  Inc.</t>
  </si>
  <si>
    <t>Summit Hotel Properties  Inc.</t>
  </si>
  <si>
    <t>VEREIT  Inc.</t>
  </si>
  <si>
    <t>Solar Senior Capital Ltd.</t>
  </si>
  <si>
    <t>TPG Specialty Lending  Inc.</t>
  </si>
  <si>
    <t>American Capital Mortgage Investment Corp.</t>
  </si>
  <si>
    <t>Memorial Production Partners LP</t>
  </si>
  <si>
    <t>U.S. SILICA HOLDINGS  INC.</t>
  </si>
  <si>
    <t>Carlyle Group L.P.</t>
  </si>
  <si>
    <t>VEREIT Operating Partnership  L.P.</t>
  </si>
  <si>
    <t>Hughes Satellite Systems Corp</t>
  </si>
  <si>
    <t>Fiesta Restaurant Group  Inc.</t>
  </si>
  <si>
    <t>Bloomin' Brands  Inc.</t>
  </si>
  <si>
    <t>Shutterstock  Inc.</t>
  </si>
  <si>
    <t>Eaton Corp plc</t>
  </si>
  <si>
    <t>Zoetis Inc.</t>
  </si>
  <si>
    <t>Retail Opportunity Investments Partnership  LP</t>
  </si>
  <si>
    <t>Antero Midstream Partners LP</t>
  </si>
  <si>
    <t>Memorial Resource Development Corp.</t>
  </si>
  <si>
    <t>ADEPTPROS INC</t>
  </si>
  <si>
    <t>GLOBAL TECHNOLOGIES CORP</t>
  </si>
  <si>
    <t>Electrum Special Acquisition Corp</t>
  </si>
  <si>
    <t>JOHNSON &amp; JOHNSON</t>
  </si>
  <si>
    <t>CHURCHILL DOWNS Inc</t>
  </si>
  <si>
    <t>TEXTRON INC</t>
  </si>
  <si>
    <t>COMMERCE BANCSHARES INC /MO/</t>
  </si>
  <si>
    <t>SELECTIVE INSURANCE GROUP INC</t>
  </si>
  <si>
    <t>CTS CORP</t>
  </si>
  <si>
    <t>DANAHER CORP /DE/</t>
  </si>
  <si>
    <t>SCHWAB CHARLES CORP</t>
  </si>
  <si>
    <t>EQUIFAX INC</t>
  </si>
  <si>
    <t>EXXON MOBIL CORP</t>
  </si>
  <si>
    <t>FERRO CORP</t>
  </si>
  <si>
    <t>ALLIANT ENERGY CORP</t>
  </si>
  <si>
    <t>GATX CORP</t>
  </si>
  <si>
    <t>Ally Financial Inc.</t>
  </si>
  <si>
    <t>AMERICAN AIRLINES INC</t>
  </si>
  <si>
    <t>HASBRO INC</t>
  </si>
  <si>
    <t>HollyFrontier Corp</t>
  </si>
  <si>
    <t>AMERICAN ELECTRIC POWER CO INC</t>
  </si>
  <si>
    <t>DineEquity  Inc</t>
  </si>
  <si>
    <t>IMPERIAL OIL LTD</t>
  </si>
  <si>
    <t>INDIANA MICHIGAN POWER CO</t>
  </si>
  <si>
    <t>INTERSTATE POWER &amp; LIGHT CO</t>
  </si>
  <si>
    <t>KANSAS CITY POWER &amp; LIGHT CO</t>
  </si>
  <si>
    <t>WESTAR ENERGY INC /KS</t>
  </si>
  <si>
    <t>KELLOGG CO</t>
  </si>
  <si>
    <t>Unum Group</t>
  </si>
  <si>
    <t>LOUISIANA-PACIFIC CORP</t>
  </si>
  <si>
    <t>LYDALL INC /DE/</t>
  </si>
  <si>
    <t>American Airlines Group Inc.</t>
  </si>
  <si>
    <t>MARSH &amp; MCLENNAN COMPANIES  INC.</t>
  </si>
  <si>
    <t>APPALACHIAN POWER CO</t>
  </si>
  <si>
    <t>NANOMETRICS INC</t>
  </si>
  <si>
    <t>BANK OF AMERICA CORP /DE/</t>
  </si>
  <si>
    <t>ACCO BRANDS Corp</t>
  </si>
  <si>
    <t>NEW YORK TIMES CO</t>
  </si>
  <si>
    <t>AVIS BUDGET GROUP  INC.</t>
  </si>
  <si>
    <t>IPALCO ENTERPRISES  INC.</t>
  </si>
  <si>
    <t>WELLS FARGO &amp; COMPANY/MN</t>
  </si>
  <si>
    <t>CONTINENTAL RESOURCES  INC</t>
  </si>
  <si>
    <t>OHIO POWER CO</t>
  </si>
  <si>
    <t>GARTNER INC</t>
  </si>
  <si>
    <t>SOUTH STATE Corp</t>
  </si>
  <si>
    <t>CLIFFS NATURAL RESOURCES INC.</t>
  </si>
  <si>
    <t>FARMERS &amp; MERCHANTS BANCORP INC</t>
  </si>
  <si>
    <t>AMAG PHARMACEUTICALS INC.</t>
  </si>
  <si>
    <t>FIRST CITIZENS BANCSHARES INC /DE/</t>
  </si>
  <si>
    <t>ASTRONICS CORP</t>
  </si>
  <si>
    <t>PUBLIC SERVICE CO OF OKLAHOMA</t>
  </si>
  <si>
    <t>WEINGARTEN REALTY INVESTORS /TX/</t>
  </si>
  <si>
    <t>GRANT PARK FUTURES FUND LIMITED PARTNERSHIP</t>
  </si>
  <si>
    <t>ROLLINS INC</t>
  </si>
  <si>
    <t>TYLER TECHNOLOGIES INC</t>
  </si>
  <si>
    <t>TRIMBLE NAVIGATION LTD /CA/</t>
  </si>
  <si>
    <t>AES CORP</t>
  </si>
  <si>
    <t>Avery Dennison Corp</t>
  </si>
  <si>
    <t>GILEAD SCIENCES INC</t>
  </si>
  <si>
    <t>VIRTUS INVESTMENT PARTNERS  INC.</t>
  </si>
  <si>
    <t>PRAXAIR INC</t>
  </si>
  <si>
    <t>BOSTON SCIENTIFIC CORP</t>
  </si>
  <si>
    <t>UNIVERSAL INSURANCE HOLDINGS  INC.</t>
  </si>
  <si>
    <t>SM Energy Co</t>
  </si>
  <si>
    <t>DDR CORP</t>
  </si>
  <si>
    <t>MUELLER INDUSTRIES INC</t>
  </si>
  <si>
    <t>SHERWIN WILLIAMS CO</t>
  </si>
  <si>
    <t>NEWFIELD EXPLORATION CO /DE/</t>
  </si>
  <si>
    <t>KEYCORP /NEW/</t>
  </si>
  <si>
    <t>Golden State Water CO</t>
  </si>
  <si>
    <t>IMAX CORP</t>
  </si>
  <si>
    <t>SOUTHWESTERN ELECTRIC POWER CO</t>
  </si>
  <si>
    <t>MACK CALI REALTY CORP</t>
  </si>
  <si>
    <t>ADTRAN INC</t>
  </si>
  <si>
    <t>UNIVERSAL STAINLESS &amp; ALLOY PRODUCTS INC</t>
  </si>
  <si>
    <t>LOCKHEED MARTIN CORP</t>
  </si>
  <si>
    <t>MASIMO CORP</t>
  </si>
  <si>
    <t>STEPAN CO</t>
  </si>
  <si>
    <t>HOSPITALITY PROPERTIES TRUST</t>
  </si>
  <si>
    <t>STURM RUGER &amp; CO INC</t>
  </si>
  <si>
    <t>TEXAS INSTRUMENTS INC</t>
  </si>
  <si>
    <t>TIMKEN CO</t>
  </si>
  <si>
    <t>TRANSCONTINENTAL GAS PIPE LINE COMPANY  LLC</t>
  </si>
  <si>
    <t>BARNES GROUP INC</t>
  </si>
  <si>
    <t>TANGER PROPERTIES LTD PARTNERSHIP /NC/</t>
  </si>
  <si>
    <t>BJs RESTAURANTS INC</t>
  </si>
  <si>
    <t>CARRIAGE SERVICES INC</t>
  </si>
  <si>
    <t>UNITED DOMINION REALTY L P</t>
  </si>
  <si>
    <t>ANI PHARMACEUTICALS INC</t>
  </si>
  <si>
    <t>COMFORT SYSTEMS USA INC</t>
  </si>
  <si>
    <t>ONEOK INC /NEW/</t>
  </si>
  <si>
    <t>VORNADO REALTY LP</t>
  </si>
  <si>
    <t>POPEYES LOUISIANA KITCHEN  INC.</t>
  </si>
  <si>
    <t>ACTIVE POWER INC</t>
  </si>
  <si>
    <t>FRESH DEL MONTE PRODUCE INC</t>
  </si>
  <si>
    <t>Alliqua BioMedical  Inc.</t>
  </si>
  <si>
    <t>CONVERGYS CORP</t>
  </si>
  <si>
    <t>NIC INC</t>
  </si>
  <si>
    <t>TREX CO INC</t>
  </si>
  <si>
    <t>CIRCOR INTERNATIONAL INC</t>
  </si>
  <si>
    <t>DEXCOM INC</t>
  </si>
  <si>
    <t>VECTREN CORP</t>
  </si>
  <si>
    <t>SONUS NETWORKS INC</t>
  </si>
  <si>
    <t>BASIC ENERGY SERVICES INC</t>
  </si>
  <si>
    <t>INFINITY PHARMACEUTICALS  INC.</t>
  </si>
  <si>
    <t>PROASSURANCE CORP</t>
  </si>
  <si>
    <t>INFINERA CORP</t>
  </si>
  <si>
    <t>CONOCOPHILLIPS</t>
  </si>
  <si>
    <t>CIMAREX ENERGY CO</t>
  </si>
  <si>
    <t>Jazz Pharmaceuticals plc</t>
  </si>
  <si>
    <t>Macquarie Infrastructure Corp</t>
  </si>
  <si>
    <t>Huron Consulting Group Inc.</t>
  </si>
  <si>
    <t>Sunstone Hotel Investors  Inc.</t>
  </si>
  <si>
    <t>CLEVELAND BIOLABS INC</t>
  </si>
  <si>
    <t>Cooper-Standard Holdings Inc.</t>
  </si>
  <si>
    <t>Adamas Pharmaceuticals Inc</t>
  </si>
  <si>
    <t>Fidelity National Financial  Inc.</t>
  </si>
  <si>
    <t>American Railcar Industries  Inc.</t>
  </si>
  <si>
    <t>LDR HOLDING CORP</t>
  </si>
  <si>
    <t>EPAM Systems  Inc.</t>
  </si>
  <si>
    <t>Vitamin Shoppe  Inc.</t>
  </si>
  <si>
    <t>LIFELOCK  INC.</t>
  </si>
  <si>
    <t>MARIN SOFTWARE INC</t>
  </si>
  <si>
    <t>Dr Pepper Snapple Group  Inc.</t>
  </si>
  <si>
    <t>American Capital Agency Corp</t>
  </si>
  <si>
    <t>ALDER BIOPHARMACEUTICALS INC</t>
  </si>
  <si>
    <t>MOBILEIRON  INC.</t>
  </si>
  <si>
    <t>Quad/Graphics  Inc.</t>
  </si>
  <si>
    <t>GenMark Diagnostics  Inc.</t>
  </si>
  <si>
    <t>Wright Medical Group N.V.</t>
  </si>
  <si>
    <t>GLADSTONE LAND Corp</t>
  </si>
  <si>
    <t>Regulus Therapeutics Inc.</t>
  </si>
  <si>
    <t>ESH Hospitality  Inc.</t>
  </si>
  <si>
    <t>Regional Management Corp.</t>
  </si>
  <si>
    <t>Hi-Crush Partners LP</t>
  </si>
  <si>
    <t>Extended Stay America  Inc.</t>
  </si>
  <si>
    <t>Continental Building Products  Inc.</t>
  </si>
  <si>
    <t>NOW Inc.</t>
  </si>
  <si>
    <t>Forest City Realty Trust  Inc.</t>
  </si>
  <si>
    <t>JPMORGAN CHASE &amp; CO</t>
  </si>
  <si>
    <t>ST JUDE MEDICAL INC</t>
  </si>
  <si>
    <t>COHU INC</t>
  </si>
  <si>
    <t>COMPUTER TASK GROUP INC</t>
  </si>
  <si>
    <t>COOPER TIRE &amp; RUBBER CO</t>
  </si>
  <si>
    <t>CRANE CO /DE/</t>
  </si>
  <si>
    <t>ESCALADE INC</t>
  </si>
  <si>
    <t>QUIDEL CORP /DE/</t>
  </si>
  <si>
    <t>HAWAIIAN ELECTRIC INDUSTRIES INC</t>
  </si>
  <si>
    <t>GENTEX CORP</t>
  </si>
  <si>
    <t>TRUSTMARK CORP</t>
  </si>
  <si>
    <t>HAWAIIAN ELECTRIC CO INC</t>
  </si>
  <si>
    <t>INTERNATIONAL BUSINESS MACHINES CORP</t>
  </si>
  <si>
    <t>Motorola Solutions  Inc.</t>
  </si>
  <si>
    <t>BANCORPSOUTH INC</t>
  </si>
  <si>
    <t>FIRST MIDWEST BANCORP INC</t>
  </si>
  <si>
    <t>FIRST FINANCIAL BANCORP /OH/</t>
  </si>
  <si>
    <t>S&amp;T BANCORP INC</t>
  </si>
  <si>
    <t>HECLA MINING CO/DE/</t>
  </si>
  <si>
    <t>HUNT J B TRANSPORT SERVICES INC</t>
  </si>
  <si>
    <t>VERIZON COMMUNICATIONS INC</t>
  </si>
  <si>
    <t>UDR  Inc.</t>
  </si>
  <si>
    <t>SUNTRUST BANKS INC</t>
  </si>
  <si>
    <t>ALLEGHANY CORP /DE</t>
  </si>
  <si>
    <t>STANLEY FURNITURE CO INC.</t>
  </si>
  <si>
    <t>OFFICE DEPOT INC</t>
  </si>
  <si>
    <t>CONMED CORP</t>
  </si>
  <si>
    <t>EDISON INTERNATIONAL</t>
  </si>
  <si>
    <t>ROGERS CORP</t>
  </si>
  <si>
    <t>PS BUSINESS PARKS INC/CA</t>
  </si>
  <si>
    <t>Dorman Products  Inc.</t>
  </si>
  <si>
    <t>PDL BIOPHARMA  INC.</t>
  </si>
  <si>
    <t>USA TRUCK INC</t>
  </si>
  <si>
    <t>AVON PRODUCTS INC</t>
  </si>
  <si>
    <t>TAUBMAN CENTERS INC</t>
  </si>
  <si>
    <t>EQUITY LIFESTYLE PROPERTIES INC</t>
  </si>
  <si>
    <t>MORGAN STANLEY</t>
  </si>
  <si>
    <t>TANGER FACTORY OUTLET CENTERS INC</t>
  </si>
  <si>
    <t>PAPA JOHNS INTERNATIONAL INC</t>
  </si>
  <si>
    <t>ONEOK Partners LP</t>
  </si>
  <si>
    <t>SUN COMMUNITIES INC</t>
  </si>
  <si>
    <t>MARTIN MARIETTA MATERIALS INC</t>
  </si>
  <si>
    <t>TRACTOR SUPPLY CO /DE/</t>
  </si>
  <si>
    <t>SOUTHERN CALIFORNIA EDISON CO</t>
  </si>
  <si>
    <t>Shire plc</t>
  </si>
  <si>
    <t>IMPAX LABORATORIES INC</t>
  </si>
  <si>
    <t>SEALED AIR CORP/DE</t>
  </si>
  <si>
    <t>CARRIZO OIL &amp; GAS INC</t>
  </si>
  <si>
    <t>AMKOR TECHNOLOGY  INC.</t>
  </si>
  <si>
    <t>CROWN CASTLE INTERNATIONAL CORP</t>
  </si>
  <si>
    <t>FEDERATED INVESTORS INC /PA/</t>
  </si>
  <si>
    <t>HOST HOTELS &amp; RESORTS L.P.</t>
  </si>
  <si>
    <t>HOST HOTELS &amp; RESORTS  INC.</t>
  </si>
  <si>
    <t>CENTENE CORP</t>
  </si>
  <si>
    <t>SCIQUEST INC</t>
  </si>
  <si>
    <t>TEAM HEALTH HOLDINGS INC.</t>
  </si>
  <si>
    <t>Chemtura CORP</t>
  </si>
  <si>
    <t>OIL STATES INTERNATIONAL  INC</t>
  </si>
  <si>
    <t>NORTHERN STATES POWER CO</t>
  </si>
  <si>
    <t>BERKLEY W R CORP</t>
  </si>
  <si>
    <t>Allied World Assurance Co Holdings  AG</t>
  </si>
  <si>
    <t>CAVIUM  INC.</t>
  </si>
  <si>
    <t>COMPASS MINERALS INTERNATIONAL INC</t>
  </si>
  <si>
    <t>FIRST POTOMAC REALTY TRUST</t>
  </si>
  <si>
    <t>TESSERA TECHNOLOGIES INC</t>
  </si>
  <si>
    <t>CABELAS INC</t>
  </si>
  <si>
    <t>CARDTRONICS INC</t>
  </si>
  <si>
    <t>Jayhawk Energy  Inc.</t>
  </si>
  <si>
    <t>MAGNACHIP SEMICONDUCTOR Corp</t>
  </si>
  <si>
    <t>Under Armour  Inc.</t>
  </si>
  <si>
    <t>VALIDUS HOLDINGS LTD</t>
  </si>
  <si>
    <t>HEALTHCARE TRUST OF AMERICA  INC.</t>
  </si>
  <si>
    <t>Allegiant Travel CO</t>
  </si>
  <si>
    <t>GREENLIGHT CAPITAL RE  LTD.</t>
  </si>
  <si>
    <t>Surgical Care Affiliates  Inc.</t>
  </si>
  <si>
    <t>Invesco Mortgage Capital Inc.</t>
  </si>
  <si>
    <t>Clearwater Paper Corp</t>
  </si>
  <si>
    <t>Cobalt International Energy  Inc.</t>
  </si>
  <si>
    <t>Pebblebrook Hotel Trust</t>
  </si>
  <si>
    <t>Sabra Health Care REIT  Inc.</t>
  </si>
  <si>
    <t>SWIFT TRANSPORTATION Co</t>
  </si>
  <si>
    <t>Healthcare Trust of America Holdings  LP</t>
  </si>
  <si>
    <t>Kosmos Energy Ltd.</t>
  </si>
  <si>
    <t>EP Energy LLC</t>
  </si>
  <si>
    <t>Summit Materials  LLC</t>
  </si>
  <si>
    <t>WCI Communities  Inc.</t>
  </si>
  <si>
    <t>BioTelemetry  Inc.</t>
  </si>
  <si>
    <t>Gaming &amp; Leisure Properties  Inc.</t>
  </si>
  <si>
    <t>PBF Logistics LP</t>
  </si>
  <si>
    <t>EP Energy Corp</t>
  </si>
  <si>
    <t>Paycom Software  Inc.</t>
  </si>
  <si>
    <t>Summit Materials  Inc.</t>
  </si>
  <si>
    <t>TODEX CORP.</t>
  </si>
  <si>
    <t>Hennessy Capital Acquisition Corp II</t>
  </si>
  <si>
    <t>ITT Corp</t>
  </si>
  <si>
    <t>Aon plc</t>
  </si>
  <si>
    <t>SEI INVESTMENTS CO</t>
  </si>
  <si>
    <t>FIRSTMERIT CORP /OH/</t>
  </si>
  <si>
    <t>HSBC Finance Corp</t>
  </si>
  <si>
    <t>FLORIDA POWER &amp; LIGHT CO</t>
  </si>
  <si>
    <t>INTERPUBLIC GROUP OF COMPANIES  INC.</t>
  </si>
  <si>
    <t>KIRBY CORP</t>
  </si>
  <si>
    <t>ALLETE INC</t>
  </si>
  <si>
    <t>TENET HEALTHCARE CORP</t>
  </si>
  <si>
    <t>MCDERMOTT INTERNATIONAL INC</t>
  </si>
  <si>
    <t>NORTHERN STATES POWER CO /WI/</t>
  </si>
  <si>
    <t>ARMSTRONG WORLD INDUSTRIES INC</t>
  </si>
  <si>
    <t>NEXTERA ENERGY INC</t>
  </si>
  <si>
    <t>TrueBlue  Inc.</t>
  </si>
  <si>
    <t>CH2M HILL COMPANIES LTD</t>
  </si>
  <si>
    <t>PDC ENERGY  INC.</t>
  </si>
  <si>
    <t>PITNEY BOWES INC /DE/</t>
  </si>
  <si>
    <t>PUBLIC SERVICE CO OF COLORADO</t>
  </si>
  <si>
    <t>KAISER ALUMINUM CORP</t>
  </si>
  <si>
    <t>HSBC USA INC /MD/</t>
  </si>
  <si>
    <t>CABOT OIL &amp; GAS CORP</t>
  </si>
  <si>
    <t>ManpowerGroup Inc.</t>
  </si>
  <si>
    <t>ROYAL CARIBBEAN CRUISES LTD</t>
  </si>
  <si>
    <t>GOLDMAN SACHS GROUP INC</t>
  </si>
  <si>
    <t>LTC PROPERTIES INC</t>
  </si>
  <si>
    <t>FEI CO</t>
  </si>
  <si>
    <t>NORTHWEST INDIANA BANCORP</t>
  </si>
  <si>
    <t>SOUTHWESTERN PUBLIC SERVICE CO</t>
  </si>
  <si>
    <t>WESCO INTERNATIONAL INC</t>
  </si>
  <si>
    <t>DEAN FOODS CO</t>
  </si>
  <si>
    <t>STILLWATER MINING CO /DE/</t>
  </si>
  <si>
    <t>BIGLARI HOLDINGS INC.</t>
  </si>
  <si>
    <t>Wayside Technology Group  Inc.</t>
  </si>
  <si>
    <t>TEREX CORP</t>
  </si>
  <si>
    <t>DUKE REALTY LIMITED PARTNERSHIP/</t>
  </si>
  <si>
    <t>STRAYER EDUCATION INC</t>
  </si>
  <si>
    <t>VERISIGN INC/CA</t>
  </si>
  <si>
    <t>NATIONAL OILWELL VARCO INC</t>
  </si>
  <si>
    <t>AUTOLIV INC</t>
  </si>
  <si>
    <t>BANK OF THE OZARKS INC</t>
  </si>
  <si>
    <t>PIONEER NATURAL RESOURCES CO</t>
  </si>
  <si>
    <t>JUNIPER NETWORKS INC</t>
  </si>
  <si>
    <t>Prologis  Inc.</t>
  </si>
  <si>
    <t>Prologis  L.P.</t>
  </si>
  <si>
    <t>Ingredion Inc</t>
  </si>
  <si>
    <t>NATIONAL HEALTHCARE CORP</t>
  </si>
  <si>
    <t>SEATTLE GENETICS INC /WA</t>
  </si>
  <si>
    <t>XEROX CORP</t>
  </si>
  <si>
    <t>RUDOLPH TECHNOLOGIES INC</t>
  </si>
  <si>
    <t>Edwards Lifesciences Corp</t>
  </si>
  <si>
    <t>EarthLink Holdings Corp.</t>
  </si>
  <si>
    <t>CROWN MEDIA HOLDINGS INC</t>
  </si>
  <si>
    <t>Mondelez International  Inc.</t>
  </si>
  <si>
    <t>MEDICAL INTERNATIONAL TECHNOLOGY INC</t>
  </si>
  <si>
    <t>BEMIS CO INC</t>
  </si>
  <si>
    <t>AETNA INC /PA/</t>
  </si>
  <si>
    <t>NETGEAR  INC</t>
  </si>
  <si>
    <t>MAGELLAN MIDSTREAM PARTNERS LP</t>
  </si>
  <si>
    <t>PEPCO HOLDINGS INC</t>
  </si>
  <si>
    <t>PRUDENTIAL FINANCIAL INC</t>
  </si>
  <si>
    <t>MB FINANCIAL INC /MD</t>
  </si>
  <si>
    <t>ASBURY AUTOMOTIVE GROUP INC</t>
  </si>
  <si>
    <t>Anthem  Inc.</t>
  </si>
  <si>
    <t>IROBOT CORP</t>
  </si>
  <si>
    <t>DCT Industrial Trust Inc.</t>
  </si>
  <si>
    <t>RED ROBIN GOURMET BURGERS INC</t>
  </si>
  <si>
    <t>CNO Financial Group  Inc.</t>
  </si>
  <si>
    <t>ASPEN INSURANCE HOLDINGS LTD</t>
  </si>
  <si>
    <t>MOSAIC CO</t>
  </si>
  <si>
    <t>CubeSmart</t>
  </si>
  <si>
    <t>CubeSmart  L.P.</t>
  </si>
  <si>
    <t>Boardwalk Pipeline Partners  LP</t>
  </si>
  <si>
    <t>INSTRUCTURE INC</t>
  </si>
  <si>
    <t>Douglas Emmett Inc</t>
  </si>
  <si>
    <t>Western Union CO</t>
  </si>
  <si>
    <t>CBOE Holdings  Inc.</t>
  </si>
  <si>
    <t>CVR ENERGY INC</t>
  </si>
  <si>
    <t>Employers Holdings  Inc.</t>
  </si>
  <si>
    <t>Sabine Pass LNG  L.P.</t>
  </si>
  <si>
    <t>Cheniere Energy Partners  L.P.</t>
  </si>
  <si>
    <t>Silverstar Resources  Inc.</t>
  </si>
  <si>
    <t>PROS Holdings  Inc.</t>
  </si>
  <si>
    <t>Tracon Pharmaceuticals  Inc.</t>
  </si>
  <si>
    <t>DUPONT FABROS TECHNOLOGY  INC.</t>
  </si>
  <si>
    <t>Allison Transmission Holdings Inc</t>
  </si>
  <si>
    <t>DuPont Fabros Technology LP</t>
  </si>
  <si>
    <t>LogMeIn  Inc.</t>
  </si>
  <si>
    <t>Financial Engines  Inc.</t>
  </si>
  <si>
    <t>BTCS Inc.</t>
  </si>
  <si>
    <t>ZYNGA INC</t>
  </si>
  <si>
    <t>IRONWOOD PHARMACEUTICALS INC</t>
  </si>
  <si>
    <t>First American Financial Corp</t>
  </si>
  <si>
    <t>RetailMeNot  Inc.</t>
  </si>
  <si>
    <t>Nielsen Holdings plc</t>
  </si>
  <si>
    <t>General Growth Properties  Inc.</t>
  </si>
  <si>
    <t>Sabine Pass Liquefaction  LLC</t>
  </si>
  <si>
    <t>American Assets Trust  Inc.</t>
  </si>
  <si>
    <t>EverBank Financial Corp</t>
  </si>
  <si>
    <t>American Assets Trust  L.P.</t>
  </si>
  <si>
    <t>CommScope Holding Company  Inc.</t>
  </si>
  <si>
    <t>LG&amp;E &amp; KU Energy LLC</t>
  </si>
  <si>
    <t>CrossAmerica Partners LP</t>
  </si>
  <si>
    <t>Diamondback Energy  Inc.</t>
  </si>
  <si>
    <t>NMI Holdings  Inc.</t>
  </si>
  <si>
    <t>AbbVie Inc.</t>
  </si>
  <si>
    <t>TransUnion</t>
  </si>
  <si>
    <t>CVR Refining  LP</t>
  </si>
  <si>
    <t>CST BRANDS  INC.</t>
  </si>
  <si>
    <t>Ancestry.com LLC</t>
  </si>
  <si>
    <t>Century Communities  Inc.</t>
  </si>
  <si>
    <t>Cheniere Energy Partners LP Holdings  LLC</t>
  </si>
  <si>
    <t>Knowles Corp</t>
  </si>
  <si>
    <t>Time Inc.</t>
  </si>
  <si>
    <t>IMS Health Holdings  Inc.</t>
  </si>
  <si>
    <t>Sabre Corp</t>
  </si>
  <si>
    <t>Viper Energy Partners LP</t>
  </si>
  <si>
    <t>NextEra Energy Partners  LP</t>
  </si>
  <si>
    <t>DCT Industrial Operating Partnership LP</t>
  </si>
  <si>
    <t>C1 Financial  Inc.</t>
  </si>
  <si>
    <t>Urban Edge Properties</t>
  </si>
  <si>
    <t>AR CAPITAL ACQUISITION</t>
  </si>
  <si>
    <t>Senseonics Holdings  Inc.</t>
  </si>
  <si>
    <t>BOULEVARD ACQUISITION CORP. II</t>
  </si>
  <si>
    <t>ABBOTT LABORATORIES</t>
  </si>
  <si>
    <t>DELMARVA POWER &amp; LIGHT CO /DE/</t>
  </si>
  <si>
    <t>DELUXE CORP</t>
  </si>
  <si>
    <t>FEDERAL NATIONAL MORTGAGE ASSOCIATION FANNIE MAE</t>
  </si>
  <si>
    <t>CHURCH &amp; DWIGHT CO INC /DE/</t>
  </si>
  <si>
    <t>PPL ELECTRIC UTILITIES CORP</t>
  </si>
  <si>
    <t>1ST SOURCE CORP</t>
  </si>
  <si>
    <t>ESSENDANT INC</t>
  </si>
  <si>
    <t>CHENIERE ENERGY INC</t>
  </si>
  <si>
    <t>FIRST FINANCIAL BANKSHARES INC</t>
  </si>
  <si>
    <t>M&amp;T BANK CORP</t>
  </si>
  <si>
    <t>ALCOA INC.</t>
  </si>
  <si>
    <t>AMERICAN EXPRESS CO</t>
  </si>
  <si>
    <t>AMERICAN INTERNATIONAL GROUP INC</t>
  </si>
  <si>
    <t>KENTUCKY UTILITIES CO</t>
  </si>
  <si>
    <t>LILLY ELI &amp; CO</t>
  </si>
  <si>
    <t>LOEWS CORP</t>
  </si>
  <si>
    <t>LOUISVILLE GAS &amp; ELECTRIC CO /KY/</t>
  </si>
  <si>
    <t>MDU RESOURCES GROUP INC</t>
  </si>
  <si>
    <t>REALMARK PROPERTY INVESTORS LTD PARTNERSHIP II</t>
  </si>
  <si>
    <t>ARCHER DANIELS MIDLAND CO</t>
  </si>
  <si>
    <t>ARIZONA PUBLIC SERVICE CO</t>
  </si>
  <si>
    <t>XCEL ENERGY INC</t>
  </si>
  <si>
    <t>HEALTHCARE SERVICES GROUP INC</t>
  </si>
  <si>
    <t>PACCAR FINANCIAL CORP</t>
  </si>
  <si>
    <t>OCEANEERING INTERNATIONAL INC</t>
  </si>
  <si>
    <t>SEITEL INC</t>
  </si>
  <si>
    <t>CEDAR REALTY TRUST  INC.</t>
  </si>
  <si>
    <t>PINNACLE WEST CAPITAL CORP</t>
  </si>
  <si>
    <t>DUKE REALTY CORP</t>
  </si>
  <si>
    <t>REALMARK PROPERTY INVESTORS LTD PARTNERSHIP V</t>
  </si>
  <si>
    <t>POTOMAC ELECTRIC POWER CO</t>
  </si>
  <si>
    <t>FISERV INC</t>
  </si>
  <si>
    <t>BAKER HUGHES INC</t>
  </si>
  <si>
    <t>ATLANTIC CITY ELECTRIC CO</t>
  </si>
  <si>
    <t>AMPHENOL CORP /DE/</t>
  </si>
  <si>
    <t>REALMARK PROPERTY INVESTORS LIMITED PARTNERSHIP VI-A</t>
  </si>
  <si>
    <t>IDEX CORP /DE/</t>
  </si>
  <si>
    <t>ELECTRONICS FOR IMAGING INC</t>
  </si>
  <si>
    <t>SUNPOWER CORP</t>
  </si>
  <si>
    <t>GULFPORT ENERGY CORP</t>
  </si>
  <si>
    <t>MINERALS TECHNOLOGIES INC</t>
  </si>
  <si>
    <t>MANTECH INTERNATIONAL CORP</t>
  </si>
  <si>
    <t>ACADIA REALTY TRUST</t>
  </si>
  <si>
    <t>CAMDEN PROPERTY TRUST</t>
  </si>
  <si>
    <t>FORWARD AIR CORP</t>
  </si>
  <si>
    <t>RENAISSANCERE HOLDINGS LTD</t>
  </si>
  <si>
    <t>Invesco Ltd.</t>
  </si>
  <si>
    <t>RAMBUS INC</t>
  </si>
  <si>
    <t>AK STEEL HOLDING CORP</t>
  </si>
  <si>
    <t>PPL Corp</t>
  </si>
  <si>
    <t>POLARIS INDUSTRIES INC/MN</t>
  </si>
  <si>
    <t>INSIGHT ENTERPRISES INC</t>
  </si>
  <si>
    <t>NATIONAL INSTRUMENTS CORP</t>
  </si>
  <si>
    <t>STANLEY BLACK &amp; DECKER  INC.</t>
  </si>
  <si>
    <t>STATE STREET CORP</t>
  </si>
  <si>
    <t>WESTINGHOUSE AIR BRAKE TECHNOLOGIES CORP</t>
  </si>
  <si>
    <t>DIAMOND OFFSHORE DRILLING INC</t>
  </si>
  <si>
    <t>TRINITY INDUSTRIES INC</t>
  </si>
  <si>
    <t>DISH Network CORP</t>
  </si>
  <si>
    <t>TUCSON ELECTRIC POWER CO</t>
  </si>
  <si>
    <t>SANGAMO BIOSCIENCES INC</t>
  </si>
  <si>
    <t>PG&amp;E Corp</t>
  </si>
  <si>
    <t>United Continental Holdings  Inc.</t>
  </si>
  <si>
    <t>NU SKIN ENTERPRISES INC</t>
  </si>
  <si>
    <t>WEST CORP</t>
  </si>
  <si>
    <t>FEDERAL HOME LOAN MORTGAGE CORP</t>
  </si>
  <si>
    <t>CONSOLIDATED EDISON INC</t>
  </si>
  <si>
    <t>MARRIOTT INTERNATIONAL INC /MD/</t>
  </si>
  <si>
    <t>LaSalle Hotel Properties</t>
  </si>
  <si>
    <t>MACATAWA BANK CORP</t>
  </si>
  <si>
    <t>MFA FINANCIAL  INC.</t>
  </si>
  <si>
    <t>Internap Corp</t>
  </si>
  <si>
    <t>IDACORP INC</t>
  </si>
  <si>
    <t>REGENCY CENTERS LP</t>
  </si>
  <si>
    <t>TEXAS CAPITAL BANCSHARES INC/TX</t>
  </si>
  <si>
    <t>CAPELLA EDUCATION CO</t>
  </si>
  <si>
    <t>NISOURCE INC/DE</t>
  </si>
  <si>
    <t>FLUOR CORP</t>
  </si>
  <si>
    <t>ATLAS AIR WORLDWIDE HOLDINGS INC</t>
  </si>
  <si>
    <t>BANC OF CALIFORNIA  INC.</t>
  </si>
  <si>
    <t>Inteliquent  Inc.</t>
  </si>
  <si>
    <t>Green Plains Inc.</t>
  </si>
  <si>
    <t>TreeHouse Foods  Inc.</t>
  </si>
  <si>
    <t>22nd Century Group  Inc.</t>
  </si>
  <si>
    <t>DUNKIN' BRANDS GROUP  INC.</t>
  </si>
  <si>
    <t>CombiMatrix Corp</t>
  </si>
  <si>
    <t>KAR Auction Services  Inc.</t>
  </si>
  <si>
    <t>InterDigital  Inc.</t>
  </si>
  <si>
    <t>Columbia Pipeline Partners LP</t>
  </si>
  <si>
    <t>Travelport Worldwide LTD</t>
  </si>
  <si>
    <t>CVR PARTNERS  LP</t>
  </si>
  <si>
    <t>Armour Residential REIT  Inc.</t>
  </si>
  <si>
    <t>Discovery Communications  Inc.</t>
  </si>
  <si>
    <t>CLOUD PEAK ENERGY INC.</t>
  </si>
  <si>
    <t>Government Properties Income Trust</t>
  </si>
  <si>
    <t>Hyatt Hotels Corp</t>
  </si>
  <si>
    <t>Chesapeake Lodging Trust</t>
  </si>
  <si>
    <t>HUNTINGTON INGALLS INDUSTRIES  INC.</t>
  </si>
  <si>
    <t>SunCoke Energy  Inc.</t>
  </si>
  <si>
    <t>TripAdvisor  Inc.</t>
  </si>
  <si>
    <t>Independence Contract Drilling  Inc.</t>
  </si>
  <si>
    <t>SunCoke Energy Partners  L.P.</t>
  </si>
  <si>
    <t>ONE Gas  Inc.</t>
  </si>
  <si>
    <t>Liberty TripAdvisor Holdings  Inc.</t>
  </si>
  <si>
    <t>CONE Midstream Partners LP</t>
  </si>
  <si>
    <t>IEG Holdings Corp</t>
  </si>
  <si>
    <t>Columbia Pipeline Group  Inc.</t>
  </si>
  <si>
    <t>Opulent Acquisition  Inc.</t>
  </si>
  <si>
    <t>Green Plains Partners LP</t>
  </si>
  <si>
    <t>COLGATE PALMOLIVE CO</t>
  </si>
  <si>
    <t>CONSOLIDATED EDISON CO OF NEW YORK INC</t>
  </si>
  <si>
    <t>ADVANCED MICRO DEVICES INC</t>
  </si>
  <si>
    <t>DANA HOLDING CORP</t>
  </si>
  <si>
    <t>FLOWSERVE CORP</t>
  </si>
  <si>
    <t>UNITED AIRLINES  INC.</t>
  </si>
  <si>
    <t>HUBBELL INC</t>
  </si>
  <si>
    <t>HUMANA INC</t>
  </si>
  <si>
    <t>IDAHO POWER CO</t>
  </si>
  <si>
    <t>KELLY SERVICES INC</t>
  </si>
  <si>
    <t>Six Flags Entertainment Corp</t>
  </si>
  <si>
    <t>LAWSON PRODUCTS INC/NEW/DE/</t>
  </si>
  <si>
    <t>YRC Worldwide Inc.</t>
  </si>
  <si>
    <t>PANERA BREAD CO</t>
  </si>
  <si>
    <t>AT&amp;T INC.</t>
  </si>
  <si>
    <t>PACIFIC GAS &amp; ELECTRIC Co</t>
  </si>
  <si>
    <t>WELLTOWER INC.</t>
  </si>
  <si>
    <t>HARLEY DAVIDSON INC</t>
  </si>
  <si>
    <t>PPG INDUSTRIES INC</t>
  </si>
  <si>
    <t>Equity Commonwealth</t>
  </si>
  <si>
    <t>PARK NATIONAL CORP /OH/</t>
  </si>
  <si>
    <t>CITIZENS &amp; NORTHERN CORP</t>
  </si>
  <si>
    <t>CADENCE DESIGN SYSTEMS INC</t>
  </si>
  <si>
    <t>WASTE MANAGEMENT INC</t>
  </si>
  <si>
    <t>PLUM CREEK TIMBER CO INC</t>
  </si>
  <si>
    <t>NATIONAL HEALTH INVESTORS INC</t>
  </si>
  <si>
    <t>CITRIX SYSTEMS INC</t>
  </si>
  <si>
    <t>SERVICE CORPORATION INTERNATIONAL</t>
  </si>
  <si>
    <t>REGENCY CENTERS CORP</t>
  </si>
  <si>
    <t>GIBRALTAR INDUSTRIES  INC.</t>
  </si>
  <si>
    <t>AFFYMETRIX INC</t>
  </si>
  <si>
    <t>CIBER INC</t>
  </si>
  <si>
    <t>BOSTON BEER CO INC</t>
  </si>
  <si>
    <t>INTEVAC INC</t>
  </si>
  <si>
    <t>GROUP 1 AUTOMOTIVE INC</t>
  </si>
  <si>
    <t>VISHAY INTERTECHNOLOGY INC</t>
  </si>
  <si>
    <t>Piedmont Office Realty Trust  Inc.</t>
  </si>
  <si>
    <t>INNOSPEC INC.</t>
  </si>
  <si>
    <t>HERSHA HOSPITALITY TRUST</t>
  </si>
  <si>
    <t>WEYERHAEUSER CO</t>
  </si>
  <si>
    <t>Priceline Group Inc.</t>
  </si>
  <si>
    <t>DEVON ENERGY CORP/DE</t>
  </si>
  <si>
    <t>COMMUNITY HEALTH SYSTEMS INC</t>
  </si>
  <si>
    <t>GARMIN LTD</t>
  </si>
  <si>
    <t>JETBLUE AIRWAYS CORP</t>
  </si>
  <si>
    <t>NEWMONT MINING CORP /DE/</t>
  </si>
  <si>
    <t>HYSTER-YALE MATERIALS HANDLING  INC.</t>
  </si>
  <si>
    <t>ENBRIDGE ENERGY MANAGEMENT L L C</t>
  </si>
  <si>
    <t>EnLink Midstream Partners  LP</t>
  </si>
  <si>
    <t>RETAIL PROPERTIES OF AMERICA  INC.</t>
  </si>
  <si>
    <t>GLADSTONE COMMERCIAL CORP</t>
  </si>
  <si>
    <t>T-Mobile US  Inc.</t>
  </si>
  <si>
    <t>Guaranty Bancorp</t>
  </si>
  <si>
    <t>TRUPANION INC.</t>
  </si>
  <si>
    <t>Philip Morris International Inc.</t>
  </si>
  <si>
    <t>Grand Canyon Education  Inc.</t>
  </si>
  <si>
    <t>Mead Johnson Nutrition Co</t>
  </si>
  <si>
    <t>GENOCEA BIOSCIENCES  INC.</t>
  </si>
  <si>
    <t>BRUNSWICK CORP</t>
  </si>
  <si>
    <t>Spirit Airlines  Inc.</t>
  </si>
  <si>
    <t>Laredo Petroleum  Inc.</t>
  </si>
  <si>
    <t>Seventy Seven Energy Inc.</t>
  </si>
  <si>
    <t>SKOOKUM SAFETY SOLUTIONS CORP.</t>
  </si>
  <si>
    <t>Tallgrass Energy Partners  LP</t>
  </si>
  <si>
    <t>Midcoast Energy Partners  L.P.</t>
  </si>
  <si>
    <t>Enable Midstream Partners  LP</t>
  </si>
  <si>
    <t>EnLink Midstream  LLC</t>
  </si>
  <si>
    <t>Tallgrass Energy GP  LP</t>
  </si>
  <si>
    <t>CNA FINANCIAL CORP</t>
  </si>
  <si>
    <t>HALF ROBERT INTERNATIONAL INC /DE/</t>
  </si>
  <si>
    <t>MAXWELL TECHNOLOGIES INC</t>
  </si>
  <si>
    <t>PIONEER ENERGY SERVICES CORP</t>
  </si>
  <si>
    <t>HUNTINGTON BANCSHARES INC/MD</t>
  </si>
  <si>
    <t>EASTGROUP PROPERTIES INC</t>
  </si>
  <si>
    <t>NOBLE ENERGY INC</t>
  </si>
  <si>
    <t>ANADARKO PETROLEUM CORP</t>
  </si>
  <si>
    <t>CERNER CORP /MO/</t>
  </si>
  <si>
    <t>AMERICAN CAPITAL  LTD</t>
  </si>
  <si>
    <t>Meritage Homes CORP</t>
  </si>
  <si>
    <t>FIRST CASH FINANCIAL SERVICES INC</t>
  </si>
  <si>
    <t>IDEXX LABORATORIES INC /DE</t>
  </si>
  <si>
    <t>ENBRIDGE ENERGY PARTNERS LP</t>
  </si>
  <si>
    <t>CTI BIOPHARMA CORP</t>
  </si>
  <si>
    <t>NVR INC</t>
  </si>
  <si>
    <t>SMITH A O CORP</t>
  </si>
  <si>
    <t>FALCONSTOR SOFTWARE INC</t>
  </si>
  <si>
    <t>NAVIGANT CONSULTING INC</t>
  </si>
  <si>
    <t>NOVATION COMPANIES  INC.</t>
  </si>
  <si>
    <t>FIRSTENERGY CORP</t>
  </si>
  <si>
    <t>YUM BRANDS INC</t>
  </si>
  <si>
    <t>BLACKSTONE MORTGAGE TRUST  INC.</t>
  </si>
  <si>
    <t>WHIRLPOOL CORP /DE/</t>
  </si>
  <si>
    <t>LENNOX INTERNATIONAL INC</t>
  </si>
  <si>
    <t>HUNTSMAN INTERNATIONAL LLC</t>
  </si>
  <si>
    <t>SHUTTERFLY INC</t>
  </si>
  <si>
    <t>TIER REIT INC</t>
  </si>
  <si>
    <t>Arlington Asset Investment Corp.</t>
  </si>
  <si>
    <t>WESTERN ALLIANCE BANCORPORATION</t>
  </si>
  <si>
    <t>CONTROL4 CORP</t>
  </si>
  <si>
    <t>ASSURANT INC</t>
  </si>
  <si>
    <t>REGIONS FINANCIAL CORP</t>
  </si>
  <si>
    <t>Huntsman CORP</t>
  </si>
  <si>
    <t>Where Food Comes From  Inc.</t>
  </si>
  <si>
    <t>TriState Capital Holdings  Inc.</t>
  </si>
  <si>
    <t>Advanced Biomedical Technologies Inc.</t>
  </si>
  <si>
    <t>FirstEnergy Solutions Corp.</t>
  </si>
  <si>
    <t>Mojo Organics  Inc.</t>
  </si>
  <si>
    <t>Colfax CORP</t>
  </si>
  <si>
    <t>WESTMOUNTAIN GOLD  INC.</t>
  </si>
  <si>
    <t>Trans-Pacific Aerospace Company  Inc.</t>
  </si>
  <si>
    <t>LyondellBasell Industries N.V.</t>
  </si>
  <si>
    <t>KINDER MORGAN  INC.</t>
  </si>
  <si>
    <t>Express Scripts Holding Co.</t>
  </si>
  <si>
    <t>Select Income REIT</t>
  </si>
  <si>
    <t>Skkynet Cloud Systems  Inc.</t>
  </si>
  <si>
    <t>Liberty Global plc</t>
  </si>
  <si>
    <t>Maple Tree Kids  Inc.</t>
  </si>
  <si>
    <t>POCKET GAMES INC.</t>
  </si>
  <si>
    <t>AMERICAN GENE ENGINEER CORP</t>
  </si>
  <si>
    <t>Weatherford International plc</t>
  </si>
  <si>
    <t>Renewable Energy &amp; Power  Inc.</t>
  </si>
  <si>
    <t>Stem Sales  Inc.</t>
  </si>
  <si>
    <t>Landmark Infrastructure Partners LP</t>
  </si>
  <si>
    <t>Mylan N.V.</t>
  </si>
  <si>
    <t>CATERPILLAR INC</t>
  </si>
  <si>
    <t>ENERGEN CORP</t>
  </si>
  <si>
    <t>AMGEN INC</t>
  </si>
  <si>
    <t>ALEXANDERS INC</t>
  </si>
  <si>
    <t>GRACO INC</t>
  </si>
  <si>
    <t>MICROPAC INDUSTRIES INC</t>
  </si>
  <si>
    <t>PACCAR INC</t>
  </si>
  <si>
    <t>CATERPILLAR FINANCIAL SERVICES CORP</t>
  </si>
  <si>
    <t>WORLD FUEL SERVICES CORP</t>
  </si>
  <si>
    <t>OWENS-ILLINOIS GROUP INC</t>
  </si>
  <si>
    <t>CBS CORP</t>
  </si>
  <si>
    <t>VERTEX PHARMACEUTICALS INC / MA</t>
  </si>
  <si>
    <t>VORNADO REALTY TRUST</t>
  </si>
  <si>
    <t>HEALTHCARE REALTY TRUST INC</t>
  </si>
  <si>
    <t>BALL CORP</t>
  </si>
  <si>
    <t>SANDISK CORP</t>
  </si>
  <si>
    <t>CORE LABORATORIES N V</t>
  </si>
  <si>
    <t>UNION CARBIDE CORP /NEW/</t>
  </si>
  <si>
    <t>AWARE INC /MA/</t>
  </si>
  <si>
    <t>KILROY REALTY CORP</t>
  </si>
  <si>
    <t>COBIZ FINANCIAL INC</t>
  </si>
  <si>
    <t>GRIFFIN INDUSTRIAL REALTY  INC.</t>
  </si>
  <si>
    <t>REPUBLIC SERVICES  INC.</t>
  </si>
  <si>
    <t>AMERICAN AXLE &amp; MANUFACTURING HOLDINGS INC</t>
  </si>
  <si>
    <t>WORLD WRESTLING ENTERTAINMENTINC</t>
  </si>
  <si>
    <t>INTERSIL CORP/DE</t>
  </si>
  <si>
    <t>CHARLES RIVER LABORATORIES INTERNATIONAL INC</t>
  </si>
  <si>
    <t>POLYONE CORP</t>
  </si>
  <si>
    <t>MASTERCARD INC</t>
  </si>
  <si>
    <t>ALNYLAM PHARMACEUTICALS  INC.</t>
  </si>
  <si>
    <t>TEMPUR SEALY INTERNATIONAL  INC.</t>
  </si>
  <si>
    <t>ESSENTIAL INNOVATIONS TECHNOLOGY CORP</t>
  </si>
  <si>
    <t>LINKEDIN CORP</t>
  </si>
  <si>
    <t>VONAGE HOLDINGS CORP</t>
  </si>
  <si>
    <t>WELLCARE HEALTH PLANS  INC.</t>
  </si>
  <si>
    <t>NEWMARKET CORP</t>
  </si>
  <si>
    <t>NeuroMetrix  Inc.</t>
  </si>
  <si>
    <t>LIFEPOINT HEALTH  INC.</t>
  </si>
  <si>
    <t>Brookdale Senior Living Inc.</t>
  </si>
  <si>
    <t>MERCER INTERNATIONAL INC.</t>
  </si>
  <si>
    <t>POTLATCH CORP</t>
  </si>
  <si>
    <t>Vanda Pharmaceuticals Inc.</t>
  </si>
  <si>
    <t>VARONIS SYSTEMS INC</t>
  </si>
  <si>
    <t>WYNDHAM WORLDWIDE CORP</t>
  </si>
  <si>
    <t>Spirit AeroSystems Holdings  Inc.</t>
  </si>
  <si>
    <t>GRAPHIC PACKAGING HOLDING CO</t>
  </si>
  <si>
    <t>Q2 Holdings  Inc.</t>
  </si>
  <si>
    <t>BRISTOL MYERS SQUIBB CO</t>
  </si>
  <si>
    <t>Ingersoll-Rand plc</t>
  </si>
  <si>
    <t>Groupon  Inc.</t>
  </si>
  <si>
    <t>CoreSite Realty Corp</t>
  </si>
  <si>
    <t>Kilroy Realty  L.P.</t>
  </si>
  <si>
    <t>Texas South Energy  Inc.</t>
  </si>
  <si>
    <t>PHILLIPS 66 PARTNERS LP</t>
  </si>
  <si>
    <t>Liberty Broadband Corp</t>
  </si>
  <si>
    <t>ZILLOW GROUP  INC.</t>
  </si>
  <si>
    <t>SPX FLOW  Inc.</t>
  </si>
  <si>
    <t>CORNING INC /NY</t>
  </si>
  <si>
    <t>CUMMINS INC</t>
  </si>
  <si>
    <t>DOVER Corp</t>
  </si>
  <si>
    <t>DOW CHEMICAL CO /DE/</t>
  </si>
  <si>
    <t>ILLINOIS TOOL WORKS INC</t>
  </si>
  <si>
    <t>INTEL CORP</t>
  </si>
  <si>
    <t>MASCO CORP /DE/</t>
  </si>
  <si>
    <t>MCGRAW HILL FINANCIAL INC</t>
  </si>
  <si>
    <t>VENTAS INC</t>
  </si>
  <si>
    <t>NATIONAL RETAIL PROPERTIES  INC.</t>
  </si>
  <si>
    <t>HONEYWELL INTERNATIONAL INC</t>
  </si>
  <si>
    <t>PORTLAND GENERAL ELECTRIC CO /OR/</t>
  </si>
  <si>
    <t>NAVIGATORS GROUP INC</t>
  </si>
  <si>
    <t>PILGRIMS PRIDE CORP</t>
  </si>
  <si>
    <t>DENTSPLY INTERNATIONAL INC /DE/</t>
  </si>
  <si>
    <t>Inuvo  Inc.</t>
  </si>
  <si>
    <t>RYDER SYSTEM INC</t>
  </si>
  <si>
    <t>KEMPER Corp</t>
  </si>
  <si>
    <t>CREDIT ACCEPTANCE CORP</t>
  </si>
  <si>
    <t>CALPINE CORP</t>
  </si>
  <si>
    <t>BARD C R INC /NJ/</t>
  </si>
  <si>
    <t>AGL RESOURCES INC</t>
  </si>
  <si>
    <t>UNITED TECHNOLOGIES CORP /DE/</t>
  </si>
  <si>
    <t>MONSTER WORLDWIDE  INC.</t>
  </si>
  <si>
    <t>BSQUARE CORP /WA</t>
  </si>
  <si>
    <t>ALLIANCEBERNSTEIN L.P.</t>
  </si>
  <si>
    <t>NUVASIVE INC</t>
  </si>
  <si>
    <t>COLUMBIA PROPERTY TRUST  INC.</t>
  </si>
  <si>
    <t>REYNOLDS AMERICAN INC</t>
  </si>
  <si>
    <t>Expedia  Inc.</t>
  </si>
  <si>
    <t>NxStage Medical  Inc.</t>
  </si>
  <si>
    <t>Aircastle LTD</t>
  </si>
  <si>
    <t>WABCO Holdings Inc.</t>
  </si>
  <si>
    <t>Limelight Networks  Inc.</t>
  </si>
  <si>
    <t>Och-Ziff Capital Management Group LLC</t>
  </si>
  <si>
    <t>Rovi Corp</t>
  </si>
  <si>
    <t>Quintiles Transnational Holdings Inc.</t>
  </si>
  <si>
    <t>COCA-COLA ENTERPRISES  INC.</t>
  </si>
  <si>
    <t>SOLARFLEX CORP</t>
  </si>
  <si>
    <t>GNC HOLDINGS  INC.</t>
  </si>
  <si>
    <t>USA Compression Partners  LP</t>
  </si>
  <si>
    <t>EQT Midstream Partners  LP</t>
  </si>
  <si>
    <t>EQT GP Holdings  LP</t>
  </si>
  <si>
    <t>PayPal Holdings  Inc.</t>
  </si>
  <si>
    <t>CONSUMERS ENERGY CO</t>
  </si>
  <si>
    <t>MOLSON COORS BREWING CO</t>
  </si>
  <si>
    <t>STRYKER CORP</t>
  </si>
  <si>
    <t>EQT Corp</t>
  </si>
  <si>
    <t>AUTONATION  INC.</t>
  </si>
  <si>
    <t>FORD MOTOR CO</t>
  </si>
  <si>
    <t>FORD MOTOR CREDIT CO LLC</t>
  </si>
  <si>
    <t>KIMBERLY CLARK CORP</t>
  </si>
  <si>
    <t>3M CO</t>
  </si>
  <si>
    <t>REALTY INCOME CORP</t>
  </si>
  <si>
    <t>NORTHWESTERN CORP</t>
  </si>
  <si>
    <t>ALASKA AIR GROUP  INC.</t>
  </si>
  <si>
    <t>PEPSICO INC</t>
  </si>
  <si>
    <t>CMS ENERGY CORP</t>
  </si>
  <si>
    <t>CELGENE CORP /DE/</t>
  </si>
  <si>
    <t>ALLIANCEBERNSTEIN HOLDING L.P.</t>
  </si>
  <si>
    <t>MULTI FINELINE ELECTRONIX INC</t>
  </si>
  <si>
    <t>POWER INTEGRATIONS INC</t>
  </si>
  <si>
    <t>TRAVELERS COMPANIES  INC.</t>
  </si>
  <si>
    <t>REGENERON PHARMACEUTICALS INC</t>
  </si>
  <si>
    <t>MEDNAX  INC.</t>
  </si>
  <si>
    <t>BORGWARNER INC</t>
  </si>
  <si>
    <t>SNAP-ON Inc</t>
  </si>
  <si>
    <t>NEUROCRINE BIOSCIENCES INC</t>
  </si>
  <si>
    <t>LEVI STRAUSS &amp; CO</t>
  </si>
  <si>
    <t>CRAY INC</t>
  </si>
  <si>
    <t>HENRY SCHEIN INC</t>
  </si>
  <si>
    <t>RAYTHEON CO/</t>
  </si>
  <si>
    <t>FIRST NIAGARA FINANCIAL GROUP INC</t>
  </si>
  <si>
    <t>CHARTER COMMUNICATIONS  INC. /MO/</t>
  </si>
  <si>
    <t>EXELON CORP</t>
  </si>
  <si>
    <t>ENSIGN GROUP  INC</t>
  </si>
  <si>
    <t>PRINCIPAL FINANCIAL GROUP INC</t>
  </si>
  <si>
    <t>EXELON GENERATION CO LLC</t>
  </si>
  <si>
    <t>BOEING CO</t>
  </si>
  <si>
    <t>BankFinancial CORP</t>
  </si>
  <si>
    <t>Owens Corning</t>
  </si>
  <si>
    <t>DHI GROUP  INC.</t>
  </si>
  <si>
    <t>SOLARCITY CORP</t>
  </si>
  <si>
    <t>Blue Earth  Inc.</t>
  </si>
  <si>
    <t>Smartag International  Inc.</t>
  </si>
  <si>
    <t>Terreno Realty Corp</t>
  </si>
  <si>
    <t>Vantiv  Inc.</t>
  </si>
  <si>
    <t>INTERACTIVE MULTI MEDIA AUCTION Corp</t>
  </si>
  <si>
    <t>Rosewood Resources  Inc.</t>
  </si>
  <si>
    <t>M &amp; A Holding Corp.</t>
  </si>
  <si>
    <t>Coeur Mining  Inc.</t>
  </si>
  <si>
    <t>COMMONWEALTH EDISON CO</t>
  </si>
  <si>
    <t>COUSINS PROPERTIES INC</t>
  </si>
  <si>
    <t>CSX CORP</t>
  </si>
  <si>
    <t>DTE Electric Co</t>
  </si>
  <si>
    <t>GALLAGHER ARTHUR J &amp; CO</t>
  </si>
  <si>
    <t>USG CORP</t>
  </si>
  <si>
    <t>PECO ENERGY CO</t>
  </si>
  <si>
    <t>COGNEX CORP</t>
  </si>
  <si>
    <t>PATTERSON UTI ENERGY INC</t>
  </si>
  <si>
    <t>DTE ENERGY CO</t>
  </si>
  <si>
    <t>BALTIMORE GAS &amp; ELECTRIC CO</t>
  </si>
  <si>
    <t>Waste Connections  Inc.</t>
  </si>
  <si>
    <t>VGRAB COMMUNICATIONS INC.</t>
  </si>
  <si>
    <t>Remove-By-You  Inc.</t>
  </si>
  <si>
    <t>OMNICOM GROUP INC.</t>
  </si>
  <si>
    <t>FEDERAL REALTY INVESTMENT TRUST</t>
  </si>
  <si>
    <t>GOODYEAR TIRE &amp; RUBBER CO /OH/</t>
  </si>
  <si>
    <t>CVS HEALTH Corp</t>
  </si>
  <si>
    <t>MERCURY GENERAL CORP</t>
  </si>
  <si>
    <t>UNITEDHEALTH GROUP INC</t>
  </si>
  <si>
    <t>HCP  INC.</t>
  </si>
  <si>
    <t>CAMBREX CORP</t>
  </si>
  <si>
    <t>SCI Engineered Materials  Inc.</t>
  </si>
  <si>
    <t>LEAR CORP</t>
  </si>
  <si>
    <t>HIGHWOODS PROPERTIES INC</t>
  </si>
  <si>
    <t>HIGHWOODS REALTY LTD PARTNERSHIP</t>
  </si>
  <si>
    <t>HAWAIIAN HOLDINGS INC</t>
  </si>
  <si>
    <t>GoldLand Holdings Corp.</t>
  </si>
  <si>
    <t>Delphi Automotive PLC</t>
  </si>
  <si>
    <t>Iron Sands Corp.</t>
  </si>
  <si>
    <t>LabStyle Innovations Corp.</t>
  </si>
  <si>
    <t>NovaCopper Inc.</t>
  </si>
  <si>
    <t>GENERAL DYNAMICS CORP</t>
  </si>
  <si>
    <t>NORFOLK SOUTHERN CORP</t>
  </si>
  <si>
    <t>CARLISLE COMPANIES INC</t>
  </si>
  <si>
    <t>PULTEGROUP INC/MI/</t>
  </si>
  <si>
    <t>ALEXION PHARMACEUTICALS INC</t>
  </si>
  <si>
    <t>UNION PACIFIC CORP</t>
  </si>
  <si>
    <t>SILICON LABORATORIES INC</t>
  </si>
  <si>
    <t>MANHATTAN ASSOCIATES INC</t>
  </si>
  <si>
    <t>CHIPOTLE MEXICAN GRILL INC</t>
  </si>
  <si>
    <t>CONSOL Energy Inc</t>
  </si>
  <si>
    <t>PRICE T ROWE GROUP INC</t>
  </si>
  <si>
    <t>COMCAST CORP</t>
  </si>
  <si>
    <t>Celanese Corp</t>
  </si>
  <si>
    <t>PF Hospitality Group  Inc.</t>
  </si>
  <si>
    <t>Andalay Solar  Inc.</t>
  </si>
  <si>
    <t>Hanesbrands Inc.</t>
  </si>
  <si>
    <t>CNX Coal Resources LP</t>
  </si>
  <si>
    <t>DELTA AIR LINES INC /DE/</t>
  </si>
  <si>
    <t>HALLIBURTON CO</t>
  </si>
  <si>
    <t>ARROW ELECTRONICS INC</t>
  </si>
  <si>
    <t>ASSOCIATED BANC-CORP</t>
  </si>
  <si>
    <t>FASTENAL CO</t>
  </si>
  <si>
    <t>NBCUniversal Media  LLC</t>
  </si>
  <si>
    <t>MOBILE MINI INC</t>
  </si>
  <si>
    <t>CIPHERLOC Corp</t>
  </si>
  <si>
    <t>METTLER TOLEDO INTERNATIONAL INC/</t>
  </si>
  <si>
    <t>ATHENAHEALTH INC</t>
  </si>
  <si>
    <t>Intercontinental Exchange  Inc.</t>
  </si>
  <si>
    <t>GOP &amp; CO2  INC.</t>
  </si>
  <si>
    <t>DUPONT E I DE NEMOURS &amp; CO</t>
  </si>
  <si>
    <t>CULLEN/FROST BANKERS  INC.</t>
  </si>
  <si>
    <t>HEXCEL CORP /DE/</t>
  </si>
  <si>
    <t>OUTERWALL INC</t>
  </si>
  <si>
    <t>ALEXANDRIA REAL ESTATE EQUITIES INC</t>
  </si>
  <si>
    <t>General Motors Co</t>
  </si>
  <si>
    <t>Nukkleus Inc.</t>
  </si>
  <si>
    <t>ARTS WAY MANUFACTURING CO INC</t>
  </si>
  <si>
    <t>MDC HOLDINGS INC</t>
  </si>
  <si>
    <t>General Motors Financial Company  Inc.</t>
  </si>
  <si>
    <t>BIOGEN INC.</t>
  </si>
  <si>
    <t>SOUTHWEST AIRLINES CO</t>
  </si>
  <si>
    <t>INTUITIVE SURGICAL INC</t>
  </si>
  <si>
    <t>Sensata Technologies Holding N.V.</t>
  </si>
  <si>
    <t>SIGNAL BAY  INC.</t>
  </si>
  <si>
    <t>SIRIUS XM HOLDINGS INC.</t>
  </si>
  <si>
    <t>HedgePath Pharmaceuticals  Inc.</t>
  </si>
  <si>
    <t>EBAY INC</t>
  </si>
  <si>
    <t>NORTHROP GRUMMAN CORP /DE/</t>
  </si>
  <si>
    <t>FUTUREWORLD CORP.</t>
  </si>
  <si>
    <t>Integrity Capital Income Fund  Inc.</t>
  </si>
  <si>
    <t>ANDES 9 INC.</t>
  </si>
  <si>
    <t>ANDES 8 INC.</t>
  </si>
  <si>
    <t>ANDES 7 INC.</t>
  </si>
  <si>
    <t>Medical Information Technology  Inc.</t>
  </si>
  <si>
    <t>AMAZON COM INC</t>
  </si>
  <si>
    <t>Jefferies Group LLC</t>
  </si>
  <si>
    <t>Crystal Rock Holdings  Inc.</t>
  </si>
  <si>
    <t>CARNIVAL PLC</t>
  </si>
  <si>
    <t>PRIME GLOBAL CAPITAL GROUP Inc</t>
  </si>
  <si>
    <t>Wellness Center USA  Inc.</t>
  </si>
  <si>
    <t>ScripsAmerica  Inc.</t>
  </si>
  <si>
    <t>MAGICSTEM GROUP CORP.</t>
  </si>
  <si>
    <t>Quest Management Inc</t>
  </si>
  <si>
    <t>CHAMPION INDUSTRIES INC</t>
  </si>
  <si>
    <t>KANSAS CITY SOUTHERN</t>
  </si>
  <si>
    <t>MGC DIAGNOSTICS Corp</t>
  </si>
  <si>
    <t>CARNIVAL CORP</t>
  </si>
  <si>
    <t>PROGRESS SOFTWARE CORP /MA</t>
  </si>
  <si>
    <t>CAMERON INTERNATIONAL CORP</t>
  </si>
  <si>
    <t>NETFLIX INC</t>
  </si>
  <si>
    <t>FIRST ASIA HOLDINGS Ltd</t>
  </si>
  <si>
    <t>Comstock Mining Inc.</t>
  </si>
  <si>
    <t>PACIFIC GOLD CORP</t>
  </si>
  <si>
    <t>SYNNEX CORP</t>
  </si>
  <si>
    <t>Granite Falls Energy  LLC</t>
  </si>
  <si>
    <t>INNOVATIVE DESIGNS INC</t>
  </si>
  <si>
    <t>Heron Lake BioEnergy  LLC</t>
  </si>
  <si>
    <t>Biodel Inc</t>
  </si>
  <si>
    <t>HIGHWATER ETHANOL LLC</t>
  </si>
  <si>
    <t>AFH ACQUISITION XII  INC.</t>
  </si>
  <si>
    <t>AFH ACQUISITION XI  INC.</t>
  </si>
  <si>
    <t>AFH Acquisition IX  Inc.</t>
  </si>
  <si>
    <t>AFH Acquisition VIII  Inc.</t>
  </si>
  <si>
    <t>AFH ACQUISITION V  INC.</t>
  </si>
  <si>
    <t>AFH ACQUISITION VI  INC.</t>
  </si>
  <si>
    <t>AFH ACQUISITION VII  INC.</t>
  </si>
  <si>
    <t>ENDEAVOR IP  INC.</t>
  </si>
  <si>
    <t>GREENWIND NRG INC</t>
  </si>
  <si>
    <t>MCCORMICK &amp; CO INC</t>
  </si>
  <si>
    <t>NOBILITY HOMES INC</t>
  </si>
  <si>
    <t>UNITIL CORP</t>
  </si>
  <si>
    <t>UNITED RENTALS NORTH AMERICA INC</t>
  </si>
  <si>
    <t>UNITED RENTALS INC /DE</t>
  </si>
  <si>
    <t>SCIVANTA MEDICAL CORP</t>
  </si>
  <si>
    <t>NOVAGOLD RESOURCES INC</t>
  </si>
  <si>
    <t>Dutch Oven Gold Group Inc.</t>
  </si>
  <si>
    <t>Rampart Studios Inc.</t>
  </si>
  <si>
    <t>FULLER H B CO</t>
  </si>
  <si>
    <t>INTERNATIONAL SPEEDWAY CORP</t>
  </si>
  <si>
    <t>QUIKSILVER INC</t>
  </si>
  <si>
    <t>SCHLUMBERGER LTD /NV/</t>
  </si>
  <si>
    <t>FLOTEK INDUSTRIES INC/CN/</t>
  </si>
  <si>
    <t>COFFEE HOLDING CO INC</t>
  </si>
  <si>
    <t>FinTech Acquisition Corp</t>
  </si>
  <si>
    <t>Pace Holdings Corp.</t>
  </si>
  <si>
    <t>OMNOVA SOLUTIONS INC</t>
  </si>
  <si>
    <t>Adaiah Distribution Inc</t>
  </si>
  <si>
    <t>KB HOME</t>
  </si>
  <si>
    <t>VASCULAR SOLUTIONS INC</t>
  </si>
  <si>
    <t>CLARCOR INC.</t>
  </si>
  <si>
    <t>LENNAR CORP /NEW/</t>
  </si>
  <si>
    <t>SIRONA DENTAL SYSTEMS  INC.</t>
  </si>
  <si>
    <t>BASSETT FURNITURE INDUSTRIES INC</t>
  </si>
  <si>
    <t>PASSUR Aerospace  Inc.</t>
  </si>
  <si>
    <t>VERITEC INC</t>
  </si>
  <si>
    <t>SILVER BULL RESOURCES  INC.</t>
  </si>
  <si>
    <t>CD INTERNATIONAL ENTERPRISES  INC.</t>
  </si>
  <si>
    <t>ADOBE SYSTEMS INC</t>
  </si>
  <si>
    <t>IHS Inc.</t>
  </si>
  <si>
    <t>BRIDGFORD FOODS CORP</t>
  </si>
  <si>
    <t>ASIA EQUITY EXCHANGE GROUP  INC.</t>
  </si>
  <si>
    <t>VOLT INFORMATION SCIENCES  INC.</t>
  </si>
  <si>
    <t>CURRENCYSHARES EURO TRUST</t>
  </si>
  <si>
    <t>CURRENCYSHARES BRITISH POUND STERLING TRUST</t>
  </si>
  <si>
    <t>CURRENCYSHARES CANADIAN DOLLAR TRUST</t>
  </si>
  <si>
    <t>CURRENCYSHARES JAPANESE YEN TRUST</t>
  </si>
  <si>
    <t>CURRENCYSHARES AUSTRALIAN DOLLAR TRUST</t>
  </si>
  <si>
    <t>CURRENCYSHARES SWISS FRANC TRUST</t>
  </si>
  <si>
    <t>CURRENCYSHARES SWEDISH KRONA TRUST</t>
  </si>
  <si>
    <t>CurrencyShares Singapore Dollar Trust</t>
  </si>
  <si>
    <t>AcroBoo  Inc.</t>
  </si>
  <si>
    <t>Inspired Builders  Inc.</t>
  </si>
  <si>
    <t>CURRENCYSHARES CHINESE RENMINBI TRUST</t>
  </si>
  <si>
    <t>WL Ross Holding Corp.</t>
  </si>
  <si>
    <t>FIRST REAL ESTATE INVESTMENT TRUST OF NEW JERSEY</t>
  </si>
  <si>
    <t>AEP INDUSTRIES INC</t>
  </si>
  <si>
    <t>SHILOH INDUSTRIES INC</t>
  </si>
  <si>
    <t>AMERICAN POWER GROUP Corp</t>
  </si>
  <si>
    <t>AMERICAN SOIL TECHNOLOGIES INC</t>
  </si>
  <si>
    <t>CROSSROADS SYSTEMS INC</t>
  </si>
  <si>
    <t>CASPIAN SERVICES INC</t>
  </si>
  <si>
    <t>CHINA BAK BATTERY INC</t>
  </si>
  <si>
    <t>FTE Networks  Inc.</t>
  </si>
  <si>
    <t>NEAH POWER SYSTEMS  INC.</t>
  </si>
  <si>
    <t>Breezer Ventures Inc.</t>
  </si>
  <si>
    <t>Cleartronic  Inc.</t>
  </si>
  <si>
    <t>Alternative Investment Corp</t>
  </si>
  <si>
    <t>Regenicin  Inc.</t>
  </si>
  <si>
    <t>BLUE SPHERE CORP.</t>
  </si>
  <si>
    <t>ACTIVECARE  INC.</t>
  </si>
  <si>
    <t>Avant Diagnostics  Inc</t>
  </si>
  <si>
    <t>PEAK PHARMACEUTICALS  INC.</t>
  </si>
  <si>
    <t>AMERICAN CRYOSTEM Corp</t>
  </si>
  <si>
    <t>First Titan Corp.</t>
  </si>
  <si>
    <t>DigiPath Inc.</t>
  </si>
  <si>
    <t>5V Inc.</t>
  </si>
  <si>
    <t>AmeriCann  Inc.</t>
  </si>
  <si>
    <t>IHO-AGRO INTERNATIONAL INC.</t>
  </si>
  <si>
    <t>TRIMEDYNE INC</t>
  </si>
  <si>
    <t>DALA PETROLEUM CORP.</t>
  </si>
  <si>
    <t>ARKANOVA ENERGY CORP.</t>
  </si>
  <si>
    <t>A&amp;C United Agriculture Developing Inc.</t>
  </si>
  <si>
    <t>EL CAPITAN PRECIOUS METALS INC</t>
  </si>
  <si>
    <t>Limoneira CO</t>
  </si>
  <si>
    <t>CAN CAL RESOURCES LTD</t>
  </si>
  <si>
    <t>Advaxis  Inc.</t>
  </si>
  <si>
    <t>HURCO COMPANIES INC</t>
  </si>
  <si>
    <t>FUELCELL ENERGY INC</t>
  </si>
  <si>
    <t>LUMIOX  INC.</t>
  </si>
  <si>
    <t>PHOTRONICS INC</t>
  </si>
  <si>
    <t>Core Resource Management 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</si>
</sst>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64"/>
  <sheetViews>
    <sheetView tabSelected="1" workbookViewId="0">
      <selection activeCell="G1" sqref="G1"/>
    </sheetView>
  </sheetViews>
  <sheetFormatPr baseColWidth="10" defaultRowHeight="16" x14ac:dyDescent="0.2"/>
  <cols>
    <col min="1" max="1" width="45.83203125" customWidth="1"/>
    <col min="2" max="5" width="10.83203125" style="1"/>
  </cols>
  <sheetData>
    <row r="1" spans="1:6" x14ac:dyDescent="0.2">
      <c r="A1" t="s">
        <v>0</v>
      </c>
    </row>
    <row r="2" spans="1:6" x14ac:dyDescent="0.2">
      <c r="A2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6" x14ac:dyDescent="0.2">
      <c r="A3" t="s">
        <v>6</v>
      </c>
      <c r="B3" s="1" t="s">
        <v>7</v>
      </c>
      <c r="C3" s="1" t="s">
        <v>8</v>
      </c>
      <c r="D3" s="1" t="s">
        <v>9</v>
      </c>
      <c r="E3" s="1" t="s">
        <v>10</v>
      </c>
    </row>
    <row r="4" spans="1:6" x14ac:dyDescent="0.2">
      <c r="A4" t="s">
        <v>11</v>
      </c>
      <c r="B4" s="1" t="s">
        <v>12</v>
      </c>
      <c r="C4" s="1" t="s">
        <v>13</v>
      </c>
      <c r="D4" s="1" t="s">
        <v>14</v>
      </c>
      <c r="E4" s="1" t="s">
        <v>15</v>
      </c>
      <c r="F4" t="s">
        <v>16</v>
      </c>
    </row>
    <row r="5" spans="1:6" x14ac:dyDescent="0.2">
      <c r="A5" t="s">
        <v>17</v>
      </c>
      <c r="B5" s="1">
        <v>1076682</v>
      </c>
      <c r="C5" s="1">
        <v>7372</v>
      </c>
      <c r="D5" s="2">
        <v>42734</v>
      </c>
      <c r="E5" s="1" t="s">
        <v>18</v>
      </c>
      <c r="F5" t="str">
        <f>HYPERLINK("http://www.sec.gov/Archives/edgar/data/1076682/0001654954-16-005166-index.html")</f>
        <v>http://www.sec.gov/Archives/edgar/data/1076682/0001654954-16-005166-index.html</v>
      </c>
    </row>
    <row r="6" spans="1:6" x14ac:dyDescent="0.2">
      <c r="A6" t="s">
        <v>19</v>
      </c>
      <c r="B6" s="1">
        <v>1576873</v>
      </c>
      <c r="C6" s="1">
        <v>1000</v>
      </c>
      <c r="D6" s="2">
        <v>42734</v>
      </c>
      <c r="E6" s="1" t="s">
        <v>18</v>
      </c>
      <c r="F6" t="str">
        <f>HYPERLINK("http://www.sec.gov/Archives/edgar/data/1576873/0001078782-16-004032-index.html")</f>
        <v>http://www.sec.gov/Archives/edgar/data/1576873/0001078782-16-004032-index.html</v>
      </c>
    </row>
    <row r="7" spans="1:6" x14ac:dyDescent="0.2">
      <c r="A7" t="s">
        <v>20</v>
      </c>
      <c r="B7" s="1">
        <v>1634293</v>
      </c>
      <c r="C7" s="1">
        <v>6770</v>
      </c>
      <c r="D7" s="2">
        <v>42734</v>
      </c>
      <c r="E7" s="1" t="s">
        <v>21</v>
      </c>
      <c r="F7" t="str">
        <f>HYPERLINK("http://www.sec.gov/Archives/edgar/data/1634293/0001690824-16-000006-index.html")</f>
        <v>http://www.sec.gov/Archives/edgar/data/1634293/0001690824-16-000006-index.html</v>
      </c>
    </row>
    <row r="8" spans="1:6" x14ac:dyDescent="0.2">
      <c r="A8" t="s">
        <v>22</v>
      </c>
      <c r="B8" s="1">
        <v>1663641</v>
      </c>
      <c r="C8" s="1">
        <v>7310</v>
      </c>
      <c r="D8" s="2">
        <v>42734</v>
      </c>
      <c r="E8" s="1" t="s">
        <v>18</v>
      </c>
      <c r="F8" t="str">
        <f>HYPERLINK("http://www.sec.gov/Archives/edgar/data/1663641/0001393905-16-001132-index.html")</f>
        <v>http://www.sec.gov/Archives/edgar/data/1663641/0001393905-16-001132-index.html</v>
      </c>
    </row>
    <row r="9" spans="1:6" x14ac:dyDescent="0.2">
      <c r="A9" t="s">
        <v>23</v>
      </c>
      <c r="B9" s="1">
        <v>779544</v>
      </c>
      <c r="C9" s="1">
        <v>5812</v>
      </c>
      <c r="D9" s="2">
        <v>42734</v>
      </c>
      <c r="E9" s="1" t="s">
        <v>18</v>
      </c>
      <c r="F9" t="str">
        <f>HYPERLINK("http://www.sec.gov/Archives/edgar/data/779544/0000930413-16-009088-index.html")</f>
        <v>http://www.sec.gov/Archives/edgar/data/779544/0000930413-16-009088-index.html</v>
      </c>
    </row>
    <row r="10" spans="1:6" x14ac:dyDescent="0.2">
      <c r="A10" t="s">
        <v>24</v>
      </c>
      <c r="B10" s="1">
        <v>827876</v>
      </c>
      <c r="C10" s="1">
        <v>4991</v>
      </c>
      <c r="D10" s="2">
        <v>42734</v>
      </c>
      <c r="E10" s="1" t="s">
        <v>18</v>
      </c>
      <c r="F10" t="str">
        <f>HYPERLINK("http://www.sec.gov/Archives/edgar/data/827876/0001663577-16-000436-index.html")</f>
        <v>http://www.sec.gov/Archives/edgar/data/827876/0001663577-16-000436-index.html</v>
      </c>
    </row>
    <row r="11" spans="1:6" x14ac:dyDescent="0.2">
      <c r="A11" t="s">
        <v>25</v>
      </c>
      <c r="B11" s="1">
        <v>1023844</v>
      </c>
      <c r="C11" s="1">
        <v>6200</v>
      </c>
      <c r="D11" s="2">
        <v>42733</v>
      </c>
      <c r="E11" s="1" t="s">
        <v>18</v>
      </c>
      <c r="F11" t="str">
        <f>HYPERLINK("http://www.sec.gov/Archives/edgar/data/1023844/0001023844-16-000035-index.html")</f>
        <v>http://www.sec.gov/Archives/edgar/data/1023844/0001023844-16-000035-index.html</v>
      </c>
    </row>
    <row r="12" spans="1:6" x14ac:dyDescent="0.2">
      <c r="A12" t="s">
        <v>26</v>
      </c>
      <c r="B12" s="1">
        <v>1045742</v>
      </c>
      <c r="C12" s="1">
        <v>7371</v>
      </c>
      <c r="D12" s="2">
        <v>42733</v>
      </c>
      <c r="E12" s="1" t="s">
        <v>18</v>
      </c>
      <c r="F12" t="str">
        <f>HYPERLINK("http://www.sec.gov/Archives/edgar/data/1045742/0001683168-16-001034-index.html")</f>
        <v>http://www.sec.gov/Archives/edgar/data/1045742/0001683168-16-001034-index.html</v>
      </c>
    </row>
    <row r="13" spans="1:6" x14ac:dyDescent="0.2">
      <c r="A13" t="s">
        <v>27</v>
      </c>
      <c r="B13" s="1">
        <v>1097792</v>
      </c>
      <c r="C13" s="1">
        <v>7389</v>
      </c>
      <c r="D13" s="2">
        <v>42733</v>
      </c>
      <c r="E13" s="1" t="s">
        <v>18</v>
      </c>
      <c r="F13" t="str">
        <f>HYPERLINK("http://www.sec.gov/Archives/edgar/data/1097792/0001213900-16-019782-index.html")</f>
        <v>http://www.sec.gov/Archives/edgar/data/1097792/0001213900-16-019782-index.html</v>
      </c>
    </row>
    <row r="14" spans="1:6" x14ac:dyDescent="0.2">
      <c r="A14" t="s">
        <v>28</v>
      </c>
      <c r="B14" s="1">
        <v>1367859</v>
      </c>
      <c r="C14" s="1">
        <v>6035</v>
      </c>
      <c r="D14" s="2">
        <v>42733</v>
      </c>
      <c r="E14" s="1" t="s">
        <v>18</v>
      </c>
      <c r="F14" t="str">
        <f>HYPERLINK("http://www.sec.gov/Archives/edgar/data/1367859/0001367859-16-000097-index.html")</f>
        <v>http://www.sec.gov/Archives/edgar/data/1367859/0001367859-16-000097-index.html</v>
      </c>
    </row>
    <row r="15" spans="1:6" x14ac:dyDescent="0.2">
      <c r="A15" t="s">
        <v>29</v>
      </c>
      <c r="B15" s="1">
        <v>1435508</v>
      </c>
      <c r="C15" s="1">
        <v>6035</v>
      </c>
      <c r="D15" s="2">
        <v>42733</v>
      </c>
      <c r="E15" s="1" t="s">
        <v>18</v>
      </c>
      <c r="F15" t="str">
        <f>HYPERLINK("http://www.sec.gov/Archives/edgar/data/1435508/0001144204-16-141721-index.html")</f>
        <v>http://www.sec.gov/Archives/edgar/data/1435508/0001144204-16-141721-index.html</v>
      </c>
    </row>
    <row r="16" spans="1:6" x14ac:dyDescent="0.2">
      <c r="A16" t="s">
        <v>30</v>
      </c>
      <c r="B16" s="1">
        <v>1582244</v>
      </c>
      <c r="C16" s="1">
        <v>4923</v>
      </c>
      <c r="D16" s="2">
        <v>42733</v>
      </c>
      <c r="E16" s="1" t="s">
        <v>18</v>
      </c>
      <c r="F16" t="str">
        <f>HYPERLINK("http://www.sec.gov/Archives/edgar/data/1582244/0001582244-16-000187-index.html")</f>
        <v>http://www.sec.gov/Archives/edgar/data/1582244/0001582244-16-000187-index.html</v>
      </c>
    </row>
    <row r="17" spans="1:6" x14ac:dyDescent="0.2">
      <c r="A17" t="s">
        <v>31</v>
      </c>
      <c r="B17" s="1">
        <v>1591565</v>
      </c>
      <c r="C17" s="1">
        <v>5200</v>
      </c>
      <c r="D17" s="2">
        <v>42733</v>
      </c>
      <c r="E17" s="1" t="s">
        <v>18</v>
      </c>
      <c r="F17" t="str">
        <f>HYPERLINK("http://www.sec.gov/Archives/edgar/data/1591565/0001640334-16-002301-index.html")</f>
        <v>http://www.sec.gov/Archives/edgar/data/1591565/0001640334-16-002301-index.html</v>
      </c>
    </row>
    <row r="18" spans="1:6" x14ac:dyDescent="0.2">
      <c r="A18" t="s">
        <v>32</v>
      </c>
      <c r="B18" s="1">
        <v>1621697</v>
      </c>
      <c r="C18" s="1">
        <v>7374</v>
      </c>
      <c r="D18" s="2">
        <v>42733</v>
      </c>
      <c r="E18" s="1" t="s">
        <v>18</v>
      </c>
      <c r="F18" t="str">
        <f>HYPERLINK("http://www.sec.gov/Archives/edgar/data/1621697/0001165527-16-000962-index.html")</f>
        <v>http://www.sec.gov/Archives/edgar/data/1621697/0001165527-16-000962-index.html</v>
      </c>
    </row>
    <row r="19" spans="1:6" x14ac:dyDescent="0.2">
      <c r="A19" t="s">
        <v>33</v>
      </c>
      <c r="B19" s="1">
        <v>1631463</v>
      </c>
      <c r="C19" s="1">
        <v>1311</v>
      </c>
      <c r="D19" s="2">
        <v>42733</v>
      </c>
      <c r="E19" s="1" t="s">
        <v>18</v>
      </c>
      <c r="F19" t="str">
        <f>HYPERLINK("http://www.sec.gov/Archives/edgar/data/1631463/0001477932-16-014402-index.html")</f>
        <v>http://www.sec.gov/Archives/edgar/data/1631463/0001477932-16-014402-index.html</v>
      </c>
    </row>
    <row r="20" spans="1:6" x14ac:dyDescent="0.2">
      <c r="A20" t="s">
        <v>34</v>
      </c>
      <c r="B20" s="1">
        <v>1649989</v>
      </c>
      <c r="C20" s="1">
        <v>2836</v>
      </c>
      <c r="D20" s="2">
        <v>42733</v>
      </c>
      <c r="E20" s="1" t="s">
        <v>18</v>
      </c>
      <c r="F20" t="str">
        <f>HYPERLINK("http://www.sec.gov/Archives/edgar/data/1649989/0001571049-16-020882-index.html")</f>
        <v>http://www.sec.gov/Archives/edgar/data/1649989/0001571049-16-020882-index.html</v>
      </c>
    </row>
    <row r="21" spans="1:6" x14ac:dyDescent="0.2">
      <c r="A21" t="s">
        <v>35</v>
      </c>
      <c r="B21" s="1">
        <v>1669513</v>
      </c>
      <c r="C21" s="1">
        <v>7372</v>
      </c>
      <c r="D21" s="2">
        <v>42733</v>
      </c>
      <c r="E21" s="1" t="s">
        <v>18</v>
      </c>
      <c r="F21" t="str">
        <f>HYPERLINK("http://www.sec.gov/Archives/edgar/data/1669513/0001594062-16-000721-index.html")</f>
        <v>http://www.sec.gov/Archives/edgar/data/1669513/0001594062-16-000721-index.html</v>
      </c>
    </row>
    <row r="22" spans="1:6" x14ac:dyDescent="0.2">
      <c r="A22" t="s">
        <v>36</v>
      </c>
      <c r="B22" s="1">
        <v>72633</v>
      </c>
      <c r="C22" s="1">
        <v>6792</v>
      </c>
      <c r="D22" s="2">
        <v>42733</v>
      </c>
      <c r="E22" s="1" t="s">
        <v>18</v>
      </c>
      <c r="F22" t="str">
        <f>HYPERLINK("http://www.sec.gov/Archives/edgar/data/72633/0000072633-16-000054-index.html")</f>
        <v>http://www.sec.gov/Archives/edgar/data/72633/0000072633-16-000054-index.html</v>
      </c>
    </row>
    <row r="23" spans="1:6" x14ac:dyDescent="0.2">
      <c r="A23" t="s">
        <v>37</v>
      </c>
      <c r="B23" s="1">
        <v>772320</v>
      </c>
      <c r="C23" s="1">
        <v>2836</v>
      </c>
      <c r="D23" s="2">
        <v>42733</v>
      </c>
      <c r="E23" s="1" t="s">
        <v>18</v>
      </c>
      <c r="F23" t="str">
        <f>HYPERLINK("http://www.sec.gov/Archives/edgar/data/772320/0001564590-16-030523-index.html")</f>
        <v>http://www.sec.gov/Archives/edgar/data/772320/0001564590-16-030523-index.html</v>
      </c>
    </row>
    <row r="24" spans="1:6" x14ac:dyDescent="0.2">
      <c r="A24" t="s">
        <v>38</v>
      </c>
      <c r="B24" s="1">
        <v>812149</v>
      </c>
      <c r="C24" s="1">
        <v>5031</v>
      </c>
      <c r="D24" s="2">
        <v>42733</v>
      </c>
      <c r="E24" s="1" t="s">
        <v>18</v>
      </c>
      <c r="F24" t="str">
        <f>HYPERLINK("http://www.sec.gov/Archives/edgar/data/812149/0001144204-16-141717-index.html")</f>
        <v>http://www.sec.gov/Archives/edgar/data/812149/0001144204-16-141717-index.html</v>
      </c>
    </row>
    <row r="25" spans="1:6" x14ac:dyDescent="0.2">
      <c r="A25" t="s">
        <v>39</v>
      </c>
      <c r="B25" s="1">
        <v>1005276</v>
      </c>
      <c r="C25" s="1">
        <v>7011</v>
      </c>
      <c r="D25" s="2">
        <v>42732</v>
      </c>
      <c r="E25" s="1" t="s">
        <v>18</v>
      </c>
      <c r="F25" t="str">
        <f>HYPERLINK("http://www.sec.gov/Archives/edgar/data/1005276/0001005276-16-000030-index.html")</f>
        <v>http://www.sec.gov/Archives/edgar/data/1005276/0001005276-16-000030-index.html</v>
      </c>
    </row>
    <row r="26" spans="1:6" x14ac:dyDescent="0.2">
      <c r="A26" t="s">
        <v>40</v>
      </c>
      <c r="B26" s="1">
        <v>1435064</v>
      </c>
      <c r="C26" s="1">
        <v>3829</v>
      </c>
      <c r="D26" s="2">
        <v>42732</v>
      </c>
      <c r="E26" s="1" t="s">
        <v>18</v>
      </c>
      <c r="F26" t="str">
        <f>HYPERLINK("http://www.sec.gov/Archives/edgar/data/1435064/0001493152-16-016244-index.html")</f>
        <v>http://www.sec.gov/Archives/edgar/data/1435064/0001493152-16-016244-index.html</v>
      </c>
    </row>
    <row r="27" spans="1:6" x14ac:dyDescent="0.2">
      <c r="A27" t="s">
        <v>41</v>
      </c>
      <c r="B27" s="1">
        <v>1518487</v>
      </c>
      <c r="C27" s="1">
        <v>4955</v>
      </c>
      <c r="D27" s="2">
        <v>42732</v>
      </c>
      <c r="E27" s="1" t="s">
        <v>42</v>
      </c>
      <c r="F27" t="str">
        <f>HYPERLINK("http://www.sec.gov/Archives/edgar/data/1518487/0001096906-16-002120-index.html")</f>
        <v>http://www.sec.gov/Archives/edgar/data/1518487/0001096906-16-002120-index.html</v>
      </c>
    </row>
    <row r="28" spans="1:6" x14ac:dyDescent="0.2">
      <c r="A28" t="s">
        <v>43</v>
      </c>
      <c r="B28" s="1">
        <v>1578505</v>
      </c>
      <c r="C28" s="1">
        <v>6036</v>
      </c>
      <c r="D28" s="2">
        <v>42732</v>
      </c>
      <c r="E28" s="1" t="s">
        <v>18</v>
      </c>
      <c r="F28" t="str">
        <f>HYPERLINK("http://www.sec.gov/Archives/edgar/data/1578505/0001437749-16-043849-index.html")</f>
        <v>http://www.sec.gov/Archives/edgar/data/1578505/0001437749-16-043849-index.html</v>
      </c>
    </row>
    <row r="29" spans="1:6" x14ac:dyDescent="0.2">
      <c r="A29" t="s">
        <v>44</v>
      </c>
      <c r="B29" s="1">
        <v>720154</v>
      </c>
      <c r="C29" s="1">
        <v>8731</v>
      </c>
      <c r="D29" s="2">
        <v>42732</v>
      </c>
      <c r="E29" s="1" t="s">
        <v>18</v>
      </c>
      <c r="F29" t="str">
        <f>HYPERLINK("http://www.sec.gov/Archives/edgar/data/720154/0001144204-16-141558-index.html")</f>
        <v>http://www.sec.gov/Archives/edgar/data/720154/0001144204-16-141558-index.html</v>
      </c>
    </row>
    <row r="30" spans="1:6" x14ac:dyDescent="0.2">
      <c r="A30" t="s">
        <v>45</v>
      </c>
      <c r="B30" s="1">
        <v>1659183</v>
      </c>
      <c r="C30" s="1">
        <v>700</v>
      </c>
      <c r="D30" s="2">
        <v>42732</v>
      </c>
      <c r="E30" s="1" t="s">
        <v>18</v>
      </c>
      <c r="F30" t="str">
        <f>HYPERLINK("http://www.sec.gov/Archives/edgar/data/1659183/0001640334-16-002295-index.html")</f>
        <v>http://www.sec.gov/Archives/edgar/data/1659183/0001640334-16-002295-index.html</v>
      </c>
    </row>
    <row r="31" spans="1:6" x14ac:dyDescent="0.2">
      <c r="A31" t="s">
        <v>41</v>
      </c>
      <c r="B31" s="1">
        <v>1518487</v>
      </c>
      <c r="C31" s="1">
        <v>4955</v>
      </c>
      <c r="D31" s="2">
        <v>42732</v>
      </c>
      <c r="E31" s="1" t="s">
        <v>42</v>
      </c>
      <c r="F31" t="str">
        <f>HYPERLINK("http://www.sec.gov/Archives/edgar/data/1518487/0001096906-16-002120-index.html")</f>
        <v>http://www.sec.gov/Archives/edgar/data/1518487/0001096906-16-002120-index.html</v>
      </c>
    </row>
    <row r="32" spans="1:6" x14ac:dyDescent="0.2">
      <c r="A32" t="s">
        <v>46</v>
      </c>
      <c r="B32" s="1">
        <v>1312073</v>
      </c>
      <c r="C32" s="1">
        <v>3578</v>
      </c>
      <c r="D32" s="2">
        <v>42731</v>
      </c>
      <c r="E32" s="1" t="s">
        <v>18</v>
      </c>
      <c r="F32" t="str">
        <f>HYPERLINK("http://www.sec.gov/Archives/edgar/data/1312073/0001312073-16-000116-index.html")</f>
        <v>http://www.sec.gov/Archives/edgar/data/1312073/0001312073-16-000116-index.html</v>
      </c>
    </row>
    <row r="33" spans="1:6" x14ac:dyDescent="0.2">
      <c r="A33" t="s">
        <v>47</v>
      </c>
      <c r="B33" s="1">
        <v>1341726</v>
      </c>
      <c r="C33" s="1">
        <v>1311</v>
      </c>
      <c r="D33" s="2">
        <v>42731</v>
      </c>
      <c r="E33" s="1" t="s">
        <v>18</v>
      </c>
      <c r="F33" t="str">
        <f>HYPERLINK("http://www.sec.gov/Archives/edgar/data/1341726/0001580695-16-000914-index.html")</f>
        <v>http://www.sec.gov/Archives/edgar/data/1341726/0001580695-16-000914-index.html</v>
      </c>
    </row>
    <row r="34" spans="1:6" x14ac:dyDescent="0.2">
      <c r="A34" t="s">
        <v>48</v>
      </c>
      <c r="B34" s="1">
        <v>1417172</v>
      </c>
      <c r="C34" s="1">
        <v>2430</v>
      </c>
      <c r="D34" s="2">
        <v>42731</v>
      </c>
      <c r="E34" s="1" t="s">
        <v>18</v>
      </c>
      <c r="F34" t="str">
        <f>HYPERLINK("http://www.sec.gov/Archives/edgar/data/1417172/0001144204-16-141391-index.html")</f>
        <v>http://www.sec.gov/Archives/edgar/data/1417172/0001144204-16-141391-index.html</v>
      </c>
    </row>
    <row r="35" spans="1:6" x14ac:dyDescent="0.2">
      <c r="A35" t="s">
        <v>49</v>
      </c>
      <c r="B35" s="1">
        <v>1519894</v>
      </c>
      <c r="C35" s="1">
        <v>100</v>
      </c>
      <c r="D35" s="2">
        <v>42731</v>
      </c>
      <c r="E35" s="1" t="s">
        <v>18</v>
      </c>
      <c r="F35" t="str">
        <f>HYPERLINK("http://www.sec.gov/Archives/edgar/data/1519894/0001144204-16-141396-index.html")</f>
        <v>http://www.sec.gov/Archives/edgar/data/1519894/0001144204-16-141396-index.html</v>
      </c>
    </row>
    <row r="36" spans="1:6" x14ac:dyDescent="0.2">
      <c r="A36" t="s">
        <v>50</v>
      </c>
      <c r="B36" s="1">
        <v>825324</v>
      </c>
      <c r="C36" s="1">
        <v>5812</v>
      </c>
      <c r="D36" s="2">
        <v>42731</v>
      </c>
      <c r="E36" s="1" t="s">
        <v>18</v>
      </c>
      <c r="F36" t="str">
        <f>HYPERLINK("http://www.sec.gov/Archives/edgar/data/825324/0001214659-16-015468-index.html")</f>
        <v>http://www.sec.gov/Archives/edgar/data/825324/0001214659-16-015468-index.html</v>
      </c>
    </row>
    <row r="37" spans="1:6" x14ac:dyDescent="0.2">
      <c r="A37" t="s">
        <v>51</v>
      </c>
      <c r="B37" s="1">
        <v>1133470</v>
      </c>
      <c r="C37" s="1">
        <v>700</v>
      </c>
      <c r="D37" s="2">
        <v>42727</v>
      </c>
      <c r="E37" s="1" t="s">
        <v>18</v>
      </c>
      <c r="F37" t="str">
        <f>HYPERLINK("http://www.sec.gov/Archives/edgar/data/1133470/0001558370-16-010634-index.html")</f>
        <v>http://www.sec.gov/Archives/edgar/data/1133470/0001558370-16-010634-index.html</v>
      </c>
    </row>
    <row r="38" spans="1:6" x14ac:dyDescent="0.2">
      <c r="A38" t="s">
        <v>52</v>
      </c>
      <c r="B38" s="1">
        <v>12040</v>
      </c>
      <c r="C38" s="1">
        <v>5812</v>
      </c>
      <c r="D38" s="2">
        <v>42727</v>
      </c>
      <c r="E38" s="1" t="s">
        <v>18</v>
      </c>
      <c r="F38" t="str">
        <f>HYPERLINK("http://www.sec.gov/Archives/edgar/data/12040/0001174947-16-003557-index.html")</f>
        <v>http://www.sec.gov/Archives/edgar/data/12040/0001174947-16-003557-index.html</v>
      </c>
    </row>
    <row r="39" spans="1:6" x14ac:dyDescent="0.2">
      <c r="A39" t="s">
        <v>53</v>
      </c>
      <c r="B39" s="1">
        <v>1325740</v>
      </c>
      <c r="C39" s="1">
        <v>2860</v>
      </c>
      <c r="D39" s="2">
        <v>42727</v>
      </c>
      <c r="E39" s="1" t="s">
        <v>18</v>
      </c>
      <c r="F39" t="str">
        <f>HYPERLINK("http://www.sec.gov/Archives/edgar/data/1325740/0001564590-16-030477-index.html")</f>
        <v>http://www.sec.gov/Archives/edgar/data/1325740/0001564590-16-030477-index.html</v>
      </c>
    </row>
    <row r="40" spans="1:6" x14ac:dyDescent="0.2">
      <c r="A40" t="s">
        <v>54</v>
      </c>
      <c r="B40" s="1">
        <v>1397016</v>
      </c>
      <c r="C40" s="1">
        <v>3827</v>
      </c>
      <c r="D40" s="2">
        <v>42727</v>
      </c>
      <c r="E40" s="1" t="s">
        <v>18</v>
      </c>
      <c r="F40" t="str">
        <f>HYPERLINK("http://www.sec.gov/Archives/edgar/data/1397016/0001615774-16-009051-index.html")</f>
        <v>http://www.sec.gov/Archives/edgar/data/1397016/0001615774-16-009051-index.html</v>
      </c>
    </row>
    <row r="41" spans="1:6" x14ac:dyDescent="0.2">
      <c r="A41" t="s">
        <v>55</v>
      </c>
      <c r="B41" s="1">
        <v>1438731</v>
      </c>
      <c r="C41" s="1">
        <v>7389</v>
      </c>
      <c r="D41" s="2">
        <v>42727</v>
      </c>
      <c r="E41" s="1" t="s">
        <v>18</v>
      </c>
      <c r="F41" t="str">
        <f>HYPERLINK("http://www.sec.gov/Archives/edgar/data/1438731/0001564590-16-030454-index.html")</f>
        <v>http://www.sec.gov/Archives/edgar/data/1438731/0001564590-16-030454-index.html</v>
      </c>
    </row>
    <row r="42" spans="1:6" x14ac:dyDescent="0.2">
      <c r="A42" t="s">
        <v>56</v>
      </c>
      <c r="B42" s="1">
        <v>1506251</v>
      </c>
      <c r="C42" s="1">
        <v>2834</v>
      </c>
      <c r="D42" s="2">
        <v>42727</v>
      </c>
      <c r="E42" s="1" t="s">
        <v>18</v>
      </c>
      <c r="F42" t="str">
        <f>HYPERLINK("http://www.sec.gov/Archives/edgar/data/1506251/0001477932-16-014315-index.html")</f>
        <v>http://www.sec.gov/Archives/edgar/data/1506251/0001477932-16-014315-index.html</v>
      </c>
    </row>
    <row r="43" spans="1:6" x14ac:dyDescent="0.2">
      <c r="A43" t="s">
        <v>57</v>
      </c>
      <c r="B43" s="1">
        <v>1518720</v>
      </c>
      <c r="C43" s="1">
        <v>5990</v>
      </c>
      <c r="D43" s="2">
        <v>42727</v>
      </c>
      <c r="E43" s="1" t="s">
        <v>42</v>
      </c>
      <c r="F43" t="str">
        <f>HYPERLINK("http://www.sec.gov/Archives/edgar/data/1518720/0001511164-16-001222-index.html")</f>
        <v>http://www.sec.gov/Archives/edgar/data/1518720/0001511164-16-001222-index.html</v>
      </c>
    </row>
    <row r="44" spans="1:6" x14ac:dyDescent="0.2">
      <c r="A44" t="s">
        <v>58</v>
      </c>
      <c r="B44" s="1">
        <v>1563227</v>
      </c>
      <c r="C44" s="1">
        <v>2020</v>
      </c>
      <c r="D44" s="2">
        <v>42727</v>
      </c>
      <c r="E44" s="1" t="s">
        <v>18</v>
      </c>
      <c r="F44" t="str">
        <f>HYPERLINK("http://www.sec.gov/Archives/edgar/data/1563227/0001213900-16-019657-index.html")</f>
        <v>http://www.sec.gov/Archives/edgar/data/1563227/0001213900-16-019657-index.html</v>
      </c>
    </row>
    <row r="45" spans="1:6" x14ac:dyDescent="0.2">
      <c r="A45" t="s">
        <v>59</v>
      </c>
      <c r="B45" s="1">
        <v>1626696</v>
      </c>
      <c r="C45" s="1">
        <v>2750</v>
      </c>
      <c r="D45" s="2">
        <v>42727</v>
      </c>
      <c r="E45" s="1" t="s">
        <v>18</v>
      </c>
      <c r="F45" t="str">
        <f>HYPERLINK("http://www.sec.gov/Archives/edgar/data/1626696/0001052918-16-001474-index.html")</f>
        <v>http://www.sec.gov/Archives/edgar/data/1626696/0001052918-16-001474-index.html</v>
      </c>
    </row>
    <row r="46" spans="1:6" x14ac:dyDescent="0.2">
      <c r="A46" t="s">
        <v>60</v>
      </c>
      <c r="B46" s="1">
        <v>1643848</v>
      </c>
      <c r="C46" s="1">
        <v>2834</v>
      </c>
      <c r="D46" s="2">
        <v>42727</v>
      </c>
      <c r="E46" s="1" t="s">
        <v>18</v>
      </c>
      <c r="F46" t="str">
        <f>HYPERLINK("http://www.sec.gov/Archives/edgar/data/1643848/0001643848-16-000032-index.html")</f>
        <v>http://www.sec.gov/Archives/edgar/data/1643848/0001643848-16-000032-index.html</v>
      </c>
    </row>
    <row r="47" spans="1:6" x14ac:dyDescent="0.2">
      <c r="A47" t="s">
        <v>61</v>
      </c>
      <c r="B47" s="1">
        <v>1649338</v>
      </c>
      <c r="C47" s="1">
        <v>3674</v>
      </c>
      <c r="D47" s="2">
        <v>42727</v>
      </c>
      <c r="E47" s="1" t="s">
        <v>18</v>
      </c>
      <c r="F47" t="str">
        <f>HYPERLINK("http://www.sec.gov/Archives/edgar/data/1649338/0001649338-16-000151-index.html")</f>
        <v>http://www.sec.gov/Archives/edgar/data/1649338/0001649338-16-000151-index.html</v>
      </c>
    </row>
    <row r="48" spans="1:6" x14ac:dyDescent="0.2">
      <c r="A48" t="s">
        <v>62</v>
      </c>
      <c r="B48" s="1">
        <v>1649345</v>
      </c>
      <c r="C48" s="1">
        <v>3674</v>
      </c>
      <c r="D48" s="2">
        <v>42727</v>
      </c>
      <c r="E48" s="1" t="s">
        <v>18</v>
      </c>
      <c r="F48" t="str">
        <f>HYPERLINK("http://www.sec.gov/Archives/edgar/data/1649345/0001649345-16-000016-index.html")</f>
        <v>http://www.sec.gov/Archives/edgar/data/1649345/0001649345-16-000016-index.html</v>
      </c>
    </row>
    <row r="49" spans="1:6" x14ac:dyDescent="0.2">
      <c r="A49" t="s">
        <v>63</v>
      </c>
      <c r="B49" s="1">
        <v>775057</v>
      </c>
      <c r="C49" s="1">
        <v>1311</v>
      </c>
      <c r="D49" s="2">
        <v>42727</v>
      </c>
      <c r="E49" s="1" t="s">
        <v>18</v>
      </c>
      <c r="F49" t="str">
        <f>HYPERLINK("http://www.sec.gov/Archives/edgar/data/775057/0001096906-16-002117-index.html")</f>
        <v>http://www.sec.gov/Archives/edgar/data/775057/0001096906-16-002117-index.html</v>
      </c>
    </row>
    <row r="50" spans="1:6" x14ac:dyDescent="0.2">
      <c r="A50" t="s">
        <v>64</v>
      </c>
      <c r="B50" s="1">
        <v>794170</v>
      </c>
      <c r="C50" s="1">
        <v>1531</v>
      </c>
      <c r="D50" s="2">
        <v>42727</v>
      </c>
      <c r="E50" s="1" t="s">
        <v>18</v>
      </c>
      <c r="F50" t="str">
        <f>HYPERLINK("http://www.sec.gov/Archives/edgar/data/794170/0000794170-16-000131-index.html")</f>
        <v>http://www.sec.gov/Archives/edgar/data/794170/0000794170-16-000131-index.html</v>
      </c>
    </row>
    <row r="51" spans="1:6" x14ac:dyDescent="0.2">
      <c r="A51" t="s">
        <v>65</v>
      </c>
      <c r="B51" s="1">
        <v>818033</v>
      </c>
      <c r="C51" s="1">
        <v>2834</v>
      </c>
      <c r="D51" s="2">
        <v>42727</v>
      </c>
      <c r="E51" s="1" t="s">
        <v>42</v>
      </c>
      <c r="F51" t="str">
        <f>HYPERLINK("http://www.sec.gov/Archives/edgar/data/818033/0001193125-16-803240-index.html")</f>
        <v>http://www.sec.gov/Archives/edgar/data/818033/0001193125-16-803240-index.html</v>
      </c>
    </row>
    <row r="52" spans="1:6" x14ac:dyDescent="0.2">
      <c r="A52" t="s">
        <v>66</v>
      </c>
      <c r="B52" s="1">
        <v>825411</v>
      </c>
      <c r="C52" s="1">
        <v>3620</v>
      </c>
      <c r="D52" s="2">
        <v>42727</v>
      </c>
      <c r="E52" s="1" t="s">
        <v>18</v>
      </c>
      <c r="F52" t="str">
        <f>HYPERLINK("http://www.sec.gov/Archives/edgar/data/825411/0001140361-16-090664-index.html")</f>
        <v>http://www.sec.gov/Archives/edgar/data/825411/0001140361-16-090664-index.html</v>
      </c>
    </row>
    <row r="53" spans="1:6" x14ac:dyDescent="0.2">
      <c r="A53" t="s">
        <v>67</v>
      </c>
      <c r="B53" s="1">
        <v>96699</v>
      </c>
      <c r="C53" s="1">
        <v>3663</v>
      </c>
      <c r="D53" s="2">
        <v>42727</v>
      </c>
      <c r="E53" s="1" t="s">
        <v>18</v>
      </c>
      <c r="F53" t="str">
        <f>HYPERLINK("http://www.sec.gov/Archives/edgar/data/96699/0001144204-16-141277-index.html")</f>
        <v>http://www.sec.gov/Archives/edgar/data/96699/0001144204-16-141277-index.html</v>
      </c>
    </row>
    <row r="54" spans="1:6" x14ac:dyDescent="0.2">
      <c r="A54" t="s">
        <v>68</v>
      </c>
      <c r="B54" s="1">
        <v>1029744</v>
      </c>
      <c r="C54" s="1">
        <v>3663</v>
      </c>
      <c r="D54" s="2">
        <v>42726</v>
      </c>
      <c r="E54" s="1" t="s">
        <v>18</v>
      </c>
      <c r="F54" t="str">
        <f>HYPERLINK("http://www.sec.gov/Archives/edgar/data/1029744/0001029744-16-000025-index.html")</f>
        <v>http://www.sec.gov/Archives/edgar/data/1029744/0001029744-16-000025-index.html</v>
      </c>
    </row>
    <row r="55" spans="1:6" x14ac:dyDescent="0.2">
      <c r="A55" t="s">
        <v>69</v>
      </c>
      <c r="B55" s="1">
        <v>1173281</v>
      </c>
      <c r="C55" s="1">
        <v>2834</v>
      </c>
      <c r="D55" s="2">
        <v>42726</v>
      </c>
      <c r="E55" s="1" t="s">
        <v>18</v>
      </c>
      <c r="F55" t="str">
        <f>HYPERLINK("http://www.sec.gov/Archives/edgar/data/1173281/0001387131-16-008696-index.html")</f>
        <v>http://www.sec.gov/Archives/edgar/data/1173281/0001387131-16-008696-index.html</v>
      </c>
    </row>
    <row r="56" spans="1:6" x14ac:dyDescent="0.2">
      <c r="A56" t="s">
        <v>70</v>
      </c>
      <c r="B56" s="1">
        <v>1322505</v>
      </c>
      <c r="C56" s="1">
        <v>2834</v>
      </c>
      <c r="D56" s="2">
        <v>42726</v>
      </c>
      <c r="E56" s="1" t="s">
        <v>18</v>
      </c>
      <c r="F56" t="str">
        <f>HYPERLINK("http://www.sec.gov/Archives/edgar/data/1322505/0001564590-16-030440-index.html")</f>
        <v>http://www.sec.gov/Archives/edgar/data/1322505/0001564590-16-030440-index.html</v>
      </c>
    </row>
    <row r="57" spans="1:6" x14ac:dyDescent="0.2">
      <c r="A57" t="s">
        <v>71</v>
      </c>
      <c r="B57" s="1">
        <v>1394638</v>
      </c>
      <c r="C57" s="1">
        <v>8200</v>
      </c>
      <c r="D57" s="2">
        <v>42726</v>
      </c>
      <c r="E57" s="1" t="s">
        <v>18</v>
      </c>
      <c r="F57" t="str">
        <f>HYPERLINK("http://www.sec.gov/Archives/edgar/data/1394638/0001553350-16-002847-index.html")</f>
        <v>http://www.sec.gov/Archives/edgar/data/1394638/0001553350-16-002847-index.html</v>
      </c>
    </row>
    <row r="58" spans="1:6" x14ac:dyDescent="0.2">
      <c r="A58" t="s">
        <v>72</v>
      </c>
      <c r="B58" s="1">
        <v>1516805</v>
      </c>
      <c r="C58" s="1">
        <v>7370</v>
      </c>
      <c r="D58" s="2">
        <v>42726</v>
      </c>
      <c r="E58" s="1" t="s">
        <v>18</v>
      </c>
      <c r="F58" t="str">
        <f>HYPERLINK("http://www.sec.gov/Archives/edgar/data/1516805/0001213900-16-019618-index.html")</f>
        <v>http://www.sec.gov/Archives/edgar/data/1516805/0001213900-16-019618-index.html</v>
      </c>
    </row>
    <row r="59" spans="1:6" x14ac:dyDescent="0.2">
      <c r="A59" t="s">
        <v>73</v>
      </c>
      <c r="B59" s="1">
        <v>40570</v>
      </c>
      <c r="C59" s="1">
        <v>7361</v>
      </c>
      <c r="D59" s="2">
        <v>42726</v>
      </c>
      <c r="E59" s="1" t="s">
        <v>18</v>
      </c>
      <c r="F59" t="str">
        <f>HYPERLINK("http://www.sec.gov/Archives/edgar/data/40570/0001477932-16-014233-index.html")</f>
        <v>http://www.sec.gov/Archives/edgar/data/40570/0001477932-16-014233-index.html</v>
      </c>
    </row>
    <row r="60" spans="1:6" x14ac:dyDescent="0.2">
      <c r="A60" t="s">
        <v>74</v>
      </c>
      <c r="B60" s="1">
        <v>711404</v>
      </c>
      <c r="C60" s="1">
        <v>3851</v>
      </c>
      <c r="D60" s="2">
        <v>42726</v>
      </c>
      <c r="E60" s="1" t="s">
        <v>18</v>
      </c>
      <c r="F60" t="str">
        <f>HYPERLINK("http://www.sec.gov/Archives/edgar/data/711404/0000711404-16-000042-index.html")</f>
        <v>http://www.sec.gov/Archives/edgar/data/711404/0000711404-16-000042-index.html</v>
      </c>
    </row>
    <row r="61" spans="1:6" x14ac:dyDescent="0.2">
      <c r="A61" t="s">
        <v>75</v>
      </c>
      <c r="B61" s="1">
        <v>737758</v>
      </c>
      <c r="C61" s="1">
        <v>3524</v>
      </c>
      <c r="D61" s="2">
        <v>42726</v>
      </c>
      <c r="E61" s="1" t="s">
        <v>18</v>
      </c>
      <c r="F61" t="str">
        <f>HYPERLINK("http://www.sec.gov/Archives/edgar/data/737758/0001047469-16-017295-index.html")</f>
        <v>http://www.sec.gov/Archives/edgar/data/737758/0001047469-16-017295-index.html</v>
      </c>
    </row>
    <row r="62" spans="1:6" x14ac:dyDescent="0.2">
      <c r="A62" t="s">
        <v>76</v>
      </c>
      <c r="B62" s="1">
        <v>78460</v>
      </c>
      <c r="C62" s="1">
        <v>4924</v>
      </c>
      <c r="D62" s="2">
        <v>42726</v>
      </c>
      <c r="E62" s="1" t="s">
        <v>18</v>
      </c>
      <c r="F62" t="str">
        <f>HYPERLINK("http://www.sec.gov/Archives/edgar/data/78460/0000078460-16-000066-index.html")</f>
        <v>http://www.sec.gov/Archives/edgar/data/78460/0000078460-16-000066-index.html</v>
      </c>
    </row>
    <row r="63" spans="1:6" x14ac:dyDescent="0.2">
      <c r="A63" t="s">
        <v>77</v>
      </c>
      <c r="B63" s="1">
        <v>822370</v>
      </c>
      <c r="C63" s="1">
        <v>8090</v>
      </c>
      <c r="D63" s="2">
        <v>42726</v>
      </c>
      <c r="E63" s="1" t="s">
        <v>18</v>
      </c>
      <c r="F63" t="str">
        <f>HYPERLINK("http://www.sec.gov/Archives/edgar/data/822370/0001615774-16-009049-index.html")</f>
        <v>http://www.sec.gov/Archives/edgar/data/822370/0001615774-16-009049-index.html</v>
      </c>
    </row>
    <row r="64" spans="1:6" x14ac:dyDescent="0.2">
      <c r="A64" t="s">
        <v>78</v>
      </c>
      <c r="B64" s="1">
        <v>1158420</v>
      </c>
      <c r="C64" s="1">
        <v>6500</v>
      </c>
      <c r="D64" s="2">
        <v>42725</v>
      </c>
      <c r="E64" s="1" t="s">
        <v>18</v>
      </c>
      <c r="F64" t="str">
        <f>HYPERLINK("http://www.sec.gov/Archives/edgar/data/1158420/0001144204-16-140689-index.html")</f>
        <v>http://www.sec.gov/Archives/edgar/data/1158420/0001144204-16-140689-index.html</v>
      </c>
    </row>
    <row r="65" spans="1:6" x14ac:dyDescent="0.2">
      <c r="A65" t="s">
        <v>79</v>
      </c>
      <c r="B65" s="1">
        <v>1294632</v>
      </c>
      <c r="C65" s="1">
        <v>8062</v>
      </c>
      <c r="D65" s="2">
        <v>42725</v>
      </c>
      <c r="E65" s="1" t="s">
        <v>18</v>
      </c>
      <c r="F65" t="str">
        <f>HYPERLINK("http://www.sec.gov/Archives/edgar/data/1294632/0001193125-16-800411-index.html")</f>
        <v>http://www.sec.gov/Archives/edgar/data/1294632/0001193125-16-800411-index.html</v>
      </c>
    </row>
    <row r="66" spans="1:6" x14ac:dyDescent="0.2">
      <c r="A66" t="s">
        <v>80</v>
      </c>
      <c r="B66" s="1">
        <v>1354591</v>
      </c>
      <c r="C66" s="1">
        <v>2860</v>
      </c>
      <c r="D66" s="2">
        <v>42725</v>
      </c>
      <c r="E66" s="1" t="s">
        <v>18</v>
      </c>
      <c r="F66" t="str">
        <f>HYPERLINK("http://www.sec.gov/Archives/edgar/data/1354591/0001493152-16-016114-index.html")</f>
        <v>http://www.sec.gov/Archives/edgar/data/1354591/0001493152-16-016114-index.html</v>
      </c>
    </row>
    <row r="67" spans="1:6" x14ac:dyDescent="0.2">
      <c r="A67" t="s">
        <v>81</v>
      </c>
      <c r="B67" s="1">
        <v>1493594</v>
      </c>
      <c r="C67" s="1">
        <v>3674</v>
      </c>
      <c r="D67" s="2">
        <v>42725</v>
      </c>
      <c r="E67" s="1" t="s">
        <v>42</v>
      </c>
      <c r="F67" t="str">
        <f>HYPERLINK("http://www.sec.gov/Archives/edgar/data/1493594/0001193125-16-800433-index.html")</f>
        <v>http://www.sec.gov/Archives/edgar/data/1493594/0001193125-16-800433-index.html</v>
      </c>
    </row>
    <row r="68" spans="1:6" x14ac:dyDescent="0.2">
      <c r="A68" t="s">
        <v>82</v>
      </c>
      <c r="B68" s="1">
        <v>1620702</v>
      </c>
      <c r="C68" s="1">
        <v>4911</v>
      </c>
      <c r="D68" s="2">
        <v>42725</v>
      </c>
      <c r="E68" s="1" t="s">
        <v>18</v>
      </c>
      <c r="F68" t="str">
        <f>HYPERLINK("http://www.sec.gov/Archives/edgar/data/1620702/0001620702-16-000197-index.html")</f>
        <v>http://www.sec.gov/Archives/edgar/data/1620702/0001620702-16-000197-index.html</v>
      </c>
    </row>
    <row r="69" spans="1:6" x14ac:dyDescent="0.2">
      <c r="A69" t="s">
        <v>83</v>
      </c>
      <c r="B69" s="1">
        <v>1660690</v>
      </c>
      <c r="C69" s="1">
        <v>2890</v>
      </c>
      <c r="D69" s="2">
        <v>42725</v>
      </c>
      <c r="E69" s="1" t="s">
        <v>18</v>
      </c>
      <c r="F69" t="str">
        <f>HYPERLINK("http://www.sec.gov/Archives/edgar/data/1660690/0001660690-16-000108-index.html")</f>
        <v>http://www.sec.gov/Archives/edgar/data/1660690/0001660690-16-000108-index.html</v>
      </c>
    </row>
    <row r="70" spans="1:6" x14ac:dyDescent="0.2">
      <c r="A70" t="s">
        <v>84</v>
      </c>
      <c r="B70" s="1">
        <v>30831</v>
      </c>
      <c r="C70" s="1">
        <v>3220</v>
      </c>
      <c r="D70" s="2">
        <v>42725</v>
      </c>
      <c r="E70" s="1" t="s">
        <v>18</v>
      </c>
      <c r="F70" t="str">
        <f>HYPERLINK("http://www.sec.gov/Archives/edgar/data/30831/0001144204-16-140662-index.html")</f>
        <v>http://www.sec.gov/Archives/edgar/data/30831/0001144204-16-140662-index.html</v>
      </c>
    </row>
    <row r="71" spans="1:6" x14ac:dyDescent="0.2">
      <c r="A71" t="s">
        <v>85</v>
      </c>
      <c r="B71" s="1">
        <v>350797</v>
      </c>
      <c r="C71" s="1">
        <v>6282</v>
      </c>
      <c r="D71" s="2">
        <v>42725</v>
      </c>
      <c r="E71" s="1" t="s">
        <v>18</v>
      </c>
      <c r="F71" t="str">
        <f>HYPERLINK("http://www.sec.gov/Archives/edgar/data/350797/0001144204-16-140665-index.html")</f>
        <v>http://www.sec.gov/Archives/edgar/data/350797/0001144204-16-140665-index.html</v>
      </c>
    </row>
    <row r="72" spans="1:6" x14ac:dyDescent="0.2">
      <c r="A72" t="s">
        <v>86</v>
      </c>
      <c r="B72" s="1">
        <v>43920</v>
      </c>
      <c r="C72" s="1">
        <v>3412</v>
      </c>
      <c r="D72" s="2">
        <v>42725</v>
      </c>
      <c r="E72" s="1" t="s">
        <v>18</v>
      </c>
      <c r="F72" t="str">
        <f>HYPERLINK("http://www.sec.gov/Archives/edgar/data/43920/0000043920-16-000025-index.html")</f>
        <v>http://www.sec.gov/Archives/edgar/data/43920/0000043920-16-000025-index.html</v>
      </c>
    </row>
    <row r="73" spans="1:6" x14ac:dyDescent="0.2">
      <c r="A73" t="s">
        <v>87</v>
      </c>
      <c r="B73" s="1">
        <v>48465</v>
      </c>
      <c r="C73" s="1">
        <v>2011</v>
      </c>
      <c r="D73" s="2">
        <v>42725</v>
      </c>
      <c r="E73" s="1" t="s">
        <v>18</v>
      </c>
      <c r="F73" t="str">
        <f>HYPERLINK("http://www.sec.gov/Archives/edgar/data/48465/0001104659-16-163147-index.html")</f>
        <v>http://www.sec.gov/Archives/edgar/data/48465/0001104659-16-163147-index.html</v>
      </c>
    </row>
    <row r="74" spans="1:6" x14ac:dyDescent="0.2">
      <c r="A74" t="s">
        <v>88</v>
      </c>
      <c r="B74" s="1">
        <v>771497</v>
      </c>
      <c r="C74" s="1">
        <v>7340</v>
      </c>
      <c r="D74" s="2">
        <v>42725</v>
      </c>
      <c r="E74" s="1" t="s">
        <v>18</v>
      </c>
      <c r="F74" t="str">
        <f>HYPERLINK("http://www.sec.gov/Archives/edgar/data/771497/0001628280-16-022122-index.html")</f>
        <v>http://www.sec.gov/Archives/edgar/data/771497/0001628280-16-022122-index.html</v>
      </c>
    </row>
    <row r="75" spans="1:6" x14ac:dyDescent="0.2">
      <c r="A75" t="s">
        <v>89</v>
      </c>
      <c r="B75" s="1">
        <v>88572</v>
      </c>
      <c r="C75" s="1">
        <v>6532</v>
      </c>
      <c r="D75" s="2">
        <v>42725</v>
      </c>
      <c r="E75" s="1" t="s">
        <v>18</v>
      </c>
      <c r="F75" t="str">
        <f>HYPERLINK("http://www.sec.gov/Archives/edgar/data/88572/0001003297-16-000923-index.html")</f>
        <v>http://www.sec.gov/Archives/edgar/data/88572/0001003297-16-000923-index.html</v>
      </c>
    </row>
    <row r="76" spans="1:6" x14ac:dyDescent="0.2">
      <c r="A76" t="s">
        <v>90</v>
      </c>
      <c r="B76" s="1">
        <v>936395</v>
      </c>
      <c r="C76" s="1">
        <v>3661</v>
      </c>
      <c r="D76" s="2">
        <v>42725</v>
      </c>
      <c r="E76" s="1" t="s">
        <v>18</v>
      </c>
      <c r="F76" t="str">
        <f>HYPERLINK("http://www.sec.gov/Archives/edgar/data/936395/0000936395-16-000128-index.html")</f>
        <v>http://www.sec.gov/Archives/edgar/data/936395/0000936395-16-000128-index.html</v>
      </c>
    </row>
    <row r="77" spans="1:6" x14ac:dyDescent="0.2">
      <c r="A77" t="s">
        <v>91</v>
      </c>
      <c r="B77" s="1">
        <v>1000230</v>
      </c>
      <c r="C77" s="1">
        <v>3357</v>
      </c>
      <c r="D77" s="2">
        <v>42724</v>
      </c>
      <c r="E77" s="1" t="s">
        <v>18</v>
      </c>
      <c r="F77" t="str">
        <f>HYPERLINK("http://www.sec.gov/Archives/edgar/data/1000230/0001437749-16-043579-index.html")</f>
        <v>http://www.sec.gov/Archives/edgar/data/1000230/0001437749-16-043579-index.html</v>
      </c>
    </row>
    <row r="78" spans="1:6" x14ac:dyDescent="0.2">
      <c r="A78" t="s">
        <v>92</v>
      </c>
      <c r="B78" s="1">
        <v>10048</v>
      </c>
      <c r="C78" s="1">
        <v>1311</v>
      </c>
      <c r="D78" s="2">
        <v>42724</v>
      </c>
      <c r="E78" s="1" t="s">
        <v>18</v>
      </c>
      <c r="F78" t="str">
        <f>HYPERLINK("http://www.sec.gov/Archives/edgar/data/10048/0000010048-16-000021-index.html")</f>
        <v>http://www.sec.gov/Archives/edgar/data/10048/0000010048-16-000021-index.html</v>
      </c>
    </row>
    <row r="79" spans="1:6" x14ac:dyDescent="0.2">
      <c r="A79" t="s">
        <v>93</v>
      </c>
      <c r="B79" s="1">
        <v>102741</v>
      </c>
      <c r="C79" s="1">
        <v>2851</v>
      </c>
      <c r="D79" s="2">
        <v>42724</v>
      </c>
      <c r="E79" s="1" t="s">
        <v>18</v>
      </c>
      <c r="F79" t="str">
        <f>HYPERLINK("http://www.sec.gov/Archives/edgar/data/102741/0000102741-16-000024-index.html")</f>
        <v>http://www.sec.gov/Archives/edgar/data/102741/0000102741-16-000024-index.html</v>
      </c>
    </row>
    <row r="80" spans="1:6" x14ac:dyDescent="0.2">
      <c r="A80" t="s">
        <v>94</v>
      </c>
      <c r="B80" s="1">
        <v>1045942</v>
      </c>
      <c r="C80" s="1">
        <v>3669</v>
      </c>
      <c r="D80" s="2">
        <v>42724</v>
      </c>
      <c r="E80" s="1" t="s">
        <v>18</v>
      </c>
      <c r="F80" t="str">
        <f>HYPERLINK("http://www.sec.gov/Archives/edgar/data/1045942/0001654954-16-005033-index.html")</f>
        <v>http://www.sec.gov/Archives/edgar/data/1045942/0001654954-16-005033-index.html</v>
      </c>
    </row>
    <row r="81" spans="1:6" x14ac:dyDescent="0.2">
      <c r="A81" t="s">
        <v>95</v>
      </c>
      <c r="B81" s="1">
        <v>1090872</v>
      </c>
      <c r="C81" s="1">
        <v>3826</v>
      </c>
      <c r="D81" s="2">
        <v>42724</v>
      </c>
      <c r="E81" s="1" t="s">
        <v>18</v>
      </c>
      <c r="F81" t="str">
        <f>HYPERLINK("http://www.sec.gov/Archives/edgar/data/1090872/0001090872-16-000082-index.html")</f>
        <v>http://www.sec.gov/Archives/edgar/data/1090872/0001090872-16-000082-index.html</v>
      </c>
    </row>
    <row r="82" spans="1:6" x14ac:dyDescent="0.2">
      <c r="A82" t="s">
        <v>96</v>
      </c>
      <c r="B82" s="1">
        <v>1205181</v>
      </c>
      <c r="C82" s="1">
        <v>3844</v>
      </c>
      <c r="D82" s="2">
        <v>42724</v>
      </c>
      <c r="E82" s="1" t="s">
        <v>18</v>
      </c>
      <c r="F82" t="str">
        <f>HYPERLINK("http://www.sec.gov/Archives/edgar/data/1205181/0001493152-16-016047-index.html")</f>
        <v>http://www.sec.gov/Archives/edgar/data/1205181/0001493152-16-016047-index.html</v>
      </c>
    </row>
    <row r="83" spans="1:6" x14ac:dyDescent="0.2">
      <c r="A83" t="s">
        <v>97</v>
      </c>
      <c r="B83" s="1">
        <v>1261734</v>
      </c>
      <c r="C83" s="1">
        <v>2834</v>
      </c>
      <c r="D83" s="2">
        <v>42724</v>
      </c>
      <c r="E83" s="1" t="s">
        <v>18</v>
      </c>
      <c r="F83" t="str">
        <f>HYPERLINK("http://www.sec.gov/Archives/edgar/data/1261734/0001199073-16-000300-index.html")</f>
        <v>http://www.sec.gov/Archives/edgar/data/1261734/0001199073-16-000300-index.html</v>
      </c>
    </row>
    <row r="84" spans="1:6" x14ac:dyDescent="0.2">
      <c r="A84" t="s">
        <v>98</v>
      </c>
      <c r="B84" s="1">
        <v>1288750</v>
      </c>
      <c r="C84" s="1">
        <v>1040</v>
      </c>
      <c r="D84" s="2">
        <v>42724</v>
      </c>
      <c r="E84" s="1" t="s">
        <v>18</v>
      </c>
      <c r="F84" t="str">
        <f>HYPERLINK("http://www.sec.gov/Archives/edgar/data/1288750/0001052918-16-001454-index.html")</f>
        <v>http://www.sec.gov/Archives/edgar/data/1288750/0001052918-16-001454-index.html</v>
      </c>
    </row>
    <row r="85" spans="1:6" x14ac:dyDescent="0.2">
      <c r="A85" t="s">
        <v>99</v>
      </c>
      <c r="B85" s="1">
        <v>1594337</v>
      </c>
      <c r="C85" s="1">
        <v>2834</v>
      </c>
      <c r="D85" s="2">
        <v>42724</v>
      </c>
      <c r="E85" s="1" t="s">
        <v>18</v>
      </c>
      <c r="F85" t="str">
        <f>HYPERLINK("http://www.sec.gov/Archives/edgar/data/1594337/0001558370-16-010582-index.html")</f>
        <v>http://www.sec.gov/Archives/edgar/data/1594337/0001558370-16-010582-index.html</v>
      </c>
    </row>
    <row r="86" spans="1:6" x14ac:dyDescent="0.2">
      <c r="A86" t="s">
        <v>100</v>
      </c>
      <c r="B86" s="1">
        <v>357294</v>
      </c>
      <c r="C86" s="1">
        <v>1531</v>
      </c>
      <c r="D86" s="2">
        <v>42724</v>
      </c>
      <c r="E86" s="1" t="s">
        <v>18</v>
      </c>
      <c r="F86" t="str">
        <f>HYPERLINK("http://www.sec.gov/Archives/edgar/data/357294/0001437749-16-043587-index.html")</f>
        <v>http://www.sec.gov/Archives/edgar/data/357294/0001437749-16-043587-index.html</v>
      </c>
    </row>
    <row r="87" spans="1:6" x14ac:dyDescent="0.2">
      <c r="A87" t="s">
        <v>101</v>
      </c>
      <c r="B87" s="1">
        <v>808450</v>
      </c>
      <c r="C87" s="1">
        <v>3711</v>
      </c>
      <c r="D87" s="2">
        <v>42724</v>
      </c>
      <c r="E87" s="1" t="s">
        <v>18</v>
      </c>
      <c r="F87" t="str">
        <f>HYPERLINK("http://www.sec.gov/Archives/edgar/data/808450/0000808450-16-000140-index.html")</f>
        <v>http://www.sec.gov/Archives/edgar/data/808450/0000808450-16-000140-index.html</v>
      </c>
    </row>
    <row r="88" spans="1:6" x14ac:dyDescent="0.2">
      <c r="A88" t="s">
        <v>102</v>
      </c>
      <c r="B88" s="1">
        <v>1216752</v>
      </c>
      <c r="C88" s="1">
        <v>6141</v>
      </c>
      <c r="D88" s="2">
        <v>42723</v>
      </c>
      <c r="E88" s="1" t="s">
        <v>18</v>
      </c>
      <c r="F88" t="str">
        <f>HYPERLINK("http://www.sec.gov/Archives/edgar/data/1216752/0001216752-16-000055-index.html")</f>
        <v>http://www.sec.gov/Archives/edgar/data/1216752/0001216752-16-000055-index.html</v>
      </c>
    </row>
    <row r="89" spans="1:6" x14ac:dyDescent="0.2">
      <c r="A89" t="s">
        <v>103</v>
      </c>
      <c r="B89" s="1">
        <v>1378590</v>
      </c>
      <c r="C89" s="1">
        <v>7372</v>
      </c>
      <c r="D89" s="2">
        <v>42723</v>
      </c>
      <c r="E89" s="1" t="s">
        <v>18</v>
      </c>
      <c r="F89" t="str">
        <f>HYPERLINK("http://www.sec.gov/Archives/edgar/data/1378590/0001437749-16-043488-index.html")</f>
        <v>http://www.sec.gov/Archives/edgar/data/1378590/0001437749-16-043488-index.html</v>
      </c>
    </row>
    <row r="90" spans="1:6" x14ac:dyDescent="0.2">
      <c r="A90" t="s">
        <v>104</v>
      </c>
      <c r="B90" s="1">
        <v>1601046</v>
      </c>
      <c r="C90" s="1">
        <v>3823</v>
      </c>
      <c r="D90" s="2">
        <v>42723</v>
      </c>
      <c r="E90" s="1" t="s">
        <v>18</v>
      </c>
      <c r="F90" t="str">
        <f>HYPERLINK("http://www.sec.gov/Archives/edgar/data/1601046/0001601046-16-000077-index.html")</f>
        <v>http://www.sec.gov/Archives/edgar/data/1601046/0001601046-16-000077-index.html</v>
      </c>
    </row>
    <row r="91" spans="1:6" x14ac:dyDescent="0.2">
      <c r="A91" t="s">
        <v>105</v>
      </c>
      <c r="B91" s="1">
        <v>1609472</v>
      </c>
      <c r="C91" s="1">
        <v>7372</v>
      </c>
      <c r="D91" s="2">
        <v>42723</v>
      </c>
      <c r="E91" s="1" t="s">
        <v>18</v>
      </c>
      <c r="F91" t="str">
        <f>HYPERLINK("http://www.sec.gov/Archives/edgar/data/1609472/0001520138-16-001306-index.html")</f>
        <v>http://www.sec.gov/Archives/edgar/data/1609472/0001520138-16-001306-index.html</v>
      </c>
    </row>
    <row r="92" spans="1:6" x14ac:dyDescent="0.2">
      <c r="A92" t="s">
        <v>106</v>
      </c>
      <c r="B92" s="1">
        <v>1674910</v>
      </c>
      <c r="C92" s="1">
        <v>2990</v>
      </c>
      <c r="D92" s="2">
        <v>42723</v>
      </c>
      <c r="E92" s="1" t="s">
        <v>18</v>
      </c>
      <c r="F92" t="str">
        <f>HYPERLINK("http://www.sec.gov/Archives/edgar/data/1674910/0001674910-16-000004-index.html")</f>
        <v>http://www.sec.gov/Archives/edgar/data/1674910/0001674910-16-000004-index.html</v>
      </c>
    </row>
    <row r="93" spans="1:6" x14ac:dyDescent="0.2">
      <c r="A93" t="s">
        <v>107</v>
      </c>
      <c r="B93" s="1">
        <v>216877</v>
      </c>
      <c r="C93" s="1">
        <v>7000</v>
      </c>
      <c r="D93" s="2">
        <v>42723</v>
      </c>
      <c r="E93" s="1" t="s">
        <v>18</v>
      </c>
      <c r="F93" t="str">
        <f>HYPERLINK("http://www.sec.gov/Archives/edgar/data/216877/0001513162-16-001108-index.html")</f>
        <v>http://www.sec.gov/Archives/edgar/data/216877/0001513162-16-001108-index.html</v>
      </c>
    </row>
    <row r="94" spans="1:6" x14ac:dyDescent="0.2">
      <c r="A94" t="s">
        <v>108</v>
      </c>
      <c r="B94" s="1">
        <v>27673</v>
      </c>
      <c r="C94" s="1">
        <v>6153</v>
      </c>
      <c r="D94" s="2">
        <v>42723</v>
      </c>
      <c r="E94" s="1" t="s">
        <v>18</v>
      </c>
      <c r="F94" t="str">
        <f>HYPERLINK("http://www.sec.gov/Archives/edgar/data/27673/0001558370-16-010562-index.html")</f>
        <v>http://www.sec.gov/Archives/edgar/data/27673/0001558370-16-010562-index.html</v>
      </c>
    </row>
    <row r="95" spans="1:6" x14ac:dyDescent="0.2">
      <c r="A95" t="s">
        <v>109</v>
      </c>
      <c r="B95" s="1">
        <v>315189</v>
      </c>
      <c r="C95" s="1">
        <v>3523</v>
      </c>
      <c r="D95" s="2">
        <v>42723</v>
      </c>
      <c r="E95" s="1" t="s">
        <v>18</v>
      </c>
      <c r="F95" t="str">
        <f>HYPERLINK("http://www.sec.gov/Archives/edgar/data/315189/0001047469-16-017244-index.html")</f>
        <v>http://www.sec.gov/Archives/edgar/data/315189/0001047469-16-017244-index.html</v>
      </c>
    </row>
    <row r="96" spans="1:6" x14ac:dyDescent="0.2">
      <c r="A96" t="s">
        <v>110</v>
      </c>
      <c r="B96" s="1">
        <v>1009626</v>
      </c>
      <c r="C96" s="1">
        <v>3576</v>
      </c>
      <c r="D96" s="2">
        <v>42720</v>
      </c>
      <c r="E96" s="1" t="s">
        <v>18</v>
      </c>
      <c r="F96" t="str">
        <f>HYPERLINK("http://www.sec.gov/Archives/edgar/data/1009626/0001009626-16-000334-index.html")</f>
        <v>http://www.sec.gov/Archives/edgar/data/1009626/0001009626-16-000334-index.html</v>
      </c>
    </row>
    <row r="97" spans="1:6" x14ac:dyDescent="0.2">
      <c r="A97" t="s">
        <v>111</v>
      </c>
      <c r="B97" s="1">
        <v>1098009</v>
      </c>
      <c r="C97" s="1">
        <v>2834</v>
      </c>
      <c r="D97" s="2">
        <v>42720</v>
      </c>
      <c r="E97" s="1" t="s">
        <v>18</v>
      </c>
      <c r="F97" t="str">
        <f>HYPERLINK("http://www.sec.gov/Archives/edgar/data/1098009/0001098009-16-000023-index.html")</f>
        <v>http://www.sec.gov/Archives/edgar/data/1098009/0001098009-16-000023-index.html</v>
      </c>
    </row>
    <row r="98" spans="1:6" x14ac:dyDescent="0.2">
      <c r="A98" t="s">
        <v>112</v>
      </c>
      <c r="B98" s="1">
        <v>1133798</v>
      </c>
      <c r="C98" s="1">
        <v>5084</v>
      </c>
      <c r="D98" s="2">
        <v>42720</v>
      </c>
      <c r="E98" s="1" t="s">
        <v>18</v>
      </c>
      <c r="F98" t="str">
        <f>HYPERLINK("http://www.sec.gov/Archives/edgar/data/1133798/0001571049-16-020683-index.html")</f>
        <v>http://www.sec.gov/Archives/edgar/data/1133798/0001571049-16-020683-index.html</v>
      </c>
    </row>
    <row r="99" spans="1:6" x14ac:dyDescent="0.2">
      <c r="A99" t="s">
        <v>113</v>
      </c>
      <c r="B99" s="1">
        <v>1337068</v>
      </c>
      <c r="C99" s="1">
        <v>6035</v>
      </c>
      <c r="D99" s="2">
        <v>42720</v>
      </c>
      <c r="E99" s="1" t="s">
        <v>18</v>
      </c>
      <c r="F99" t="str">
        <f>HYPERLINK("http://www.sec.gov/Archives/edgar/data/1337068/0001174947-16-003521-index.html")</f>
        <v>http://www.sec.gov/Archives/edgar/data/1337068/0001174947-16-003521-index.html</v>
      </c>
    </row>
    <row r="100" spans="1:6" x14ac:dyDescent="0.2">
      <c r="A100" t="s">
        <v>114</v>
      </c>
      <c r="B100" s="1">
        <v>1409197</v>
      </c>
      <c r="C100" s="1">
        <v>6770</v>
      </c>
      <c r="D100" s="2">
        <v>42720</v>
      </c>
      <c r="E100" s="1" t="s">
        <v>18</v>
      </c>
      <c r="F100" t="str">
        <f>HYPERLINK("http://www.sec.gov/Archives/edgar/data/1409197/0001213900-16-019474-index.html")</f>
        <v>http://www.sec.gov/Archives/edgar/data/1409197/0001213900-16-019474-index.html</v>
      </c>
    </row>
    <row r="101" spans="1:6" x14ac:dyDescent="0.2">
      <c r="A101" t="s">
        <v>115</v>
      </c>
      <c r="B101" s="1">
        <v>1423221</v>
      </c>
      <c r="C101" s="1">
        <v>3350</v>
      </c>
      <c r="D101" s="2">
        <v>42720</v>
      </c>
      <c r="E101" s="1" t="s">
        <v>18</v>
      </c>
      <c r="F101" t="str">
        <f>HYPERLINK("http://www.sec.gov/Archives/edgar/data/1423221/0001423221-16-000026-index.html")</f>
        <v>http://www.sec.gov/Archives/edgar/data/1423221/0001423221-16-000026-index.html</v>
      </c>
    </row>
    <row r="102" spans="1:6" x14ac:dyDescent="0.2">
      <c r="A102" t="s">
        <v>116</v>
      </c>
      <c r="B102" s="1">
        <v>1424844</v>
      </c>
      <c r="C102" s="1">
        <v>2860</v>
      </c>
      <c r="D102" s="2">
        <v>42720</v>
      </c>
      <c r="E102" s="1" t="s">
        <v>18</v>
      </c>
      <c r="F102" t="str">
        <f>HYPERLINK("http://www.sec.gov/Archives/edgar/data/1424844/0001424844-16-000030-index.html")</f>
        <v>http://www.sec.gov/Archives/edgar/data/1424844/0001424844-16-000030-index.html</v>
      </c>
    </row>
    <row r="103" spans="1:6" x14ac:dyDescent="0.2">
      <c r="A103" t="s">
        <v>117</v>
      </c>
      <c r="B103" s="1">
        <v>1622996</v>
      </c>
      <c r="C103" s="1">
        <v>7900</v>
      </c>
      <c r="D103" s="2">
        <v>42720</v>
      </c>
      <c r="E103" s="1" t="s">
        <v>18</v>
      </c>
      <c r="F103" t="str">
        <f>HYPERLINK("http://www.sec.gov/Archives/edgar/data/1622996/0001640334-16-002238-index.html")</f>
        <v>http://www.sec.gov/Archives/edgar/data/1622996/0001640334-16-002238-index.html</v>
      </c>
    </row>
    <row r="104" spans="1:6" x14ac:dyDescent="0.2">
      <c r="A104" t="s">
        <v>118</v>
      </c>
      <c r="B104" s="1">
        <v>320431</v>
      </c>
      <c r="C104" s="1">
        <v>5141</v>
      </c>
      <c r="D104" s="2">
        <v>42720</v>
      </c>
      <c r="E104" s="1" t="s">
        <v>18</v>
      </c>
      <c r="F104" t="str">
        <f>HYPERLINK("http://www.sec.gov/Archives/edgar/data/320431/0001564590-16-030313-index.html")</f>
        <v>http://www.sec.gov/Archives/edgar/data/320431/0001564590-16-030313-index.html</v>
      </c>
    </row>
    <row r="105" spans="1:6" x14ac:dyDescent="0.2">
      <c r="A105" t="s">
        <v>119</v>
      </c>
      <c r="B105" s="1">
        <v>49728</v>
      </c>
      <c r="C105" s="1">
        <v>3672</v>
      </c>
      <c r="D105" s="2">
        <v>42720</v>
      </c>
      <c r="E105" s="1" t="s">
        <v>18</v>
      </c>
      <c r="F105" t="str">
        <f>HYPERLINK("http://www.sec.gov/Archives/edgar/data/49728/0000049728-16-000203-index.html")</f>
        <v>http://www.sec.gov/Archives/edgar/data/49728/0000049728-16-000203-index.html</v>
      </c>
    </row>
    <row r="106" spans="1:6" x14ac:dyDescent="0.2">
      <c r="A106" t="s">
        <v>120</v>
      </c>
      <c r="B106" s="1">
        <v>801898</v>
      </c>
      <c r="C106" s="1">
        <v>3532</v>
      </c>
      <c r="D106" s="2">
        <v>42720</v>
      </c>
      <c r="E106" s="1" t="s">
        <v>18</v>
      </c>
      <c r="F106" t="str">
        <f>HYPERLINK("http://www.sec.gov/Archives/edgar/data/801898/0000801898-16-000280-index.html")</f>
        <v>http://www.sec.gov/Archives/edgar/data/801898/0000801898-16-000280-index.html</v>
      </c>
    </row>
    <row r="107" spans="1:6" x14ac:dyDescent="0.2">
      <c r="A107" t="s">
        <v>121</v>
      </c>
      <c r="B107" s="1">
        <v>836690</v>
      </c>
      <c r="C107" s="1">
        <v>7371</v>
      </c>
      <c r="D107" s="2">
        <v>42720</v>
      </c>
      <c r="E107" s="1" t="s">
        <v>18</v>
      </c>
      <c r="F107" t="str">
        <f>HYPERLINK("http://www.sec.gov/Archives/edgar/data/836690/0001104659-16-162610-index.html")</f>
        <v>http://www.sec.gov/Archives/edgar/data/836690/0001104659-16-162610-index.html</v>
      </c>
    </row>
    <row r="108" spans="1:6" x14ac:dyDescent="0.2">
      <c r="A108" t="s">
        <v>122</v>
      </c>
      <c r="B108" s="1">
        <v>1297937</v>
      </c>
      <c r="C108" s="1">
        <v>7990</v>
      </c>
      <c r="D108" s="2">
        <v>42719</v>
      </c>
      <c r="E108" s="1" t="s">
        <v>18</v>
      </c>
      <c r="F108" t="str">
        <f>HYPERLINK("http://www.sec.gov/Archives/edgar/data/1297937/0001078782-16-003966-index.html")</f>
        <v>http://www.sec.gov/Archives/edgar/data/1297937/0001078782-16-003966-index.html</v>
      </c>
    </row>
    <row r="109" spans="1:6" x14ac:dyDescent="0.2">
      <c r="A109" t="s">
        <v>123</v>
      </c>
      <c r="B109" s="1">
        <v>1343254</v>
      </c>
      <c r="C109" s="1">
        <v>1382</v>
      </c>
      <c r="D109" s="2">
        <v>42719</v>
      </c>
      <c r="E109" s="1" t="s">
        <v>42</v>
      </c>
      <c r="F109" t="str">
        <f>HYPERLINK("http://www.sec.gov/Archives/edgar/data/1343254/0001165527-16-000958-index.html")</f>
        <v>http://www.sec.gov/Archives/edgar/data/1343254/0001165527-16-000958-index.html</v>
      </c>
    </row>
    <row r="110" spans="1:6" x14ac:dyDescent="0.2">
      <c r="A110" t="s">
        <v>124</v>
      </c>
      <c r="B110" s="1">
        <v>1357971</v>
      </c>
      <c r="C110" s="1">
        <v>1623</v>
      </c>
      <c r="D110" s="2">
        <v>42719</v>
      </c>
      <c r="E110" s="1" t="s">
        <v>18</v>
      </c>
      <c r="F110" t="str">
        <f>HYPERLINK("http://www.sec.gov/Archives/edgar/data/1357971/0001571049-16-020673-index.html")</f>
        <v>http://www.sec.gov/Archives/edgar/data/1357971/0001571049-16-020673-index.html</v>
      </c>
    </row>
    <row r="111" spans="1:6" x14ac:dyDescent="0.2">
      <c r="A111" t="s">
        <v>125</v>
      </c>
      <c r="B111" s="1">
        <v>1376804</v>
      </c>
      <c r="C111" s="1">
        <v>7822</v>
      </c>
      <c r="D111" s="2">
        <v>42719</v>
      </c>
      <c r="E111" s="1" t="s">
        <v>18</v>
      </c>
      <c r="F111" t="str">
        <f>HYPERLINK("http://www.sec.gov/Archives/edgar/data/1376804/0001477932-16-014094-index.html")</f>
        <v>http://www.sec.gov/Archives/edgar/data/1376804/0001477932-16-014094-index.html</v>
      </c>
    </row>
    <row r="112" spans="1:6" x14ac:dyDescent="0.2">
      <c r="A112" t="s">
        <v>57</v>
      </c>
      <c r="B112" s="1">
        <v>1518720</v>
      </c>
      <c r="C112" s="1">
        <v>5990</v>
      </c>
      <c r="D112" s="2">
        <v>42719</v>
      </c>
      <c r="E112" s="1" t="s">
        <v>42</v>
      </c>
      <c r="F112" t="str">
        <f>HYPERLINK("http://www.sec.gov/Archives/edgar/data/1518720/0001511164-16-001213-index.html")</f>
        <v>http://www.sec.gov/Archives/edgar/data/1518720/0001511164-16-001213-index.html</v>
      </c>
    </row>
    <row r="113" spans="1:6" x14ac:dyDescent="0.2">
      <c r="A113" t="s">
        <v>126</v>
      </c>
      <c r="B113" s="1">
        <v>1589526</v>
      </c>
      <c r="C113" s="1">
        <v>3713</v>
      </c>
      <c r="D113" s="2">
        <v>42719</v>
      </c>
      <c r="E113" s="1" t="s">
        <v>18</v>
      </c>
      <c r="F113" t="str">
        <f>HYPERLINK("http://www.sec.gov/Archives/edgar/data/1589526/0001589526-16-000199-index.html")</f>
        <v>http://www.sec.gov/Archives/edgar/data/1589526/0001589526-16-000199-index.html</v>
      </c>
    </row>
    <row r="114" spans="1:6" x14ac:dyDescent="0.2">
      <c r="A114" t="s">
        <v>127</v>
      </c>
      <c r="B114" s="1">
        <v>1644378</v>
      </c>
      <c r="C114" s="1">
        <v>8742</v>
      </c>
      <c r="D114" s="2">
        <v>42719</v>
      </c>
      <c r="E114" s="1" t="s">
        <v>18</v>
      </c>
      <c r="F114" t="str">
        <f>HYPERLINK("http://www.sec.gov/Archives/edgar/data/1644378/0001644378-16-000016-index.html")</f>
        <v>http://www.sec.gov/Archives/edgar/data/1644378/0001644378-16-000016-index.html</v>
      </c>
    </row>
    <row r="115" spans="1:6" x14ac:dyDescent="0.2">
      <c r="A115" t="s">
        <v>128</v>
      </c>
      <c r="B115" s="1">
        <v>1645590</v>
      </c>
      <c r="C115" s="1">
        <v>3570</v>
      </c>
      <c r="D115" s="2">
        <v>42719</v>
      </c>
      <c r="E115" s="1" t="s">
        <v>18</v>
      </c>
      <c r="F115" t="str">
        <f>HYPERLINK("http://www.sec.gov/Archives/edgar/data/1645590/0001628280-16-022051-index.html")</f>
        <v>http://www.sec.gov/Archives/edgar/data/1645590/0001628280-16-022051-index.html</v>
      </c>
    </row>
    <row r="116" spans="1:6" x14ac:dyDescent="0.2">
      <c r="A116" t="s">
        <v>129</v>
      </c>
      <c r="B116" s="1">
        <v>46619</v>
      </c>
      <c r="C116" s="1">
        <v>3724</v>
      </c>
      <c r="D116" s="2">
        <v>42719</v>
      </c>
      <c r="E116" s="1" t="s">
        <v>18</v>
      </c>
      <c r="F116" t="str">
        <f>HYPERLINK("http://www.sec.gov/Archives/edgar/data/46619/0000046619-16-000162-index.html")</f>
        <v>http://www.sec.gov/Archives/edgar/data/46619/0000046619-16-000162-index.html</v>
      </c>
    </row>
    <row r="117" spans="1:6" x14ac:dyDescent="0.2">
      <c r="A117" t="s">
        <v>130</v>
      </c>
      <c r="B117" s="1">
        <v>47217</v>
      </c>
      <c r="C117" s="1">
        <v>3570</v>
      </c>
      <c r="D117" s="2">
        <v>42719</v>
      </c>
      <c r="E117" s="1" t="s">
        <v>18</v>
      </c>
      <c r="F117" t="str">
        <f>HYPERLINK("http://www.sec.gov/Archives/edgar/data/47217/0000047217-16-000093-index.html")</f>
        <v>http://www.sec.gov/Archives/edgar/data/47217/0000047217-16-000093-index.html</v>
      </c>
    </row>
    <row r="118" spans="1:6" x14ac:dyDescent="0.2">
      <c r="A118" t="s">
        <v>131</v>
      </c>
      <c r="B118" s="1">
        <v>6951</v>
      </c>
      <c r="C118" s="1">
        <v>3674</v>
      </c>
      <c r="D118" s="2">
        <v>42719</v>
      </c>
      <c r="E118" s="1" t="s">
        <v>18</v>
      </c>
      <c r="F118" t="str">
        <f>HYPERLINK("http://www.sec.gov/Archives/edgar/data/6951/0000006951-16-000068-index.html")</f>
        <v>http://www.sec.gov/Archives/edgar/data/6951/0000006951-16-000068-index.html</v>
      </c>
    </row>
    <row r="119" spans="1:6" x14ac:dyDescent="0.2">
      <c r="A119" t="s">
        <v>132</v>
      </c>
      <c r="B119" s="1">
        <v>72331</v>
      </c>
      <c r="C119" s="1">
        <v>3569</v>
      </c>
      <c r="D119" s="2">
        <v>42719</v>
      </c>
      <c r="E119" s="1" t="s">
        <v>18</v>
      </c>
      <c r="F119" t="str">
        <f>HYPERLINK("http://www.sec.gov/Archives/edgar/data/72331/0001564590-16-030237-index.html")</f>
        <v>http://www.sec.gov/Archives/edgar/data/72331/0001564590-16-030237-index.html</v>
      </c>
    </row>
    <row r="120" spans="1:6" x14ac:dyDescent="0.2">
      <c r="A120" t="s">
        <v>133</v>
      </c>
      <c r="B120" s="1">
        <v>812128</v>
      </c>
      <c r="C120" s="1">
        <v>2015</v>
      </c>
      <c r="D120" s="2">
        <v>42719</v>
      </c>
      <c r="E120" s="1" t="s">
        <v>18</v>
      </c>
      <c r="F120" t="str">
        <f>HYPERLINK("http://www.sec.gov/Archives/edgar/data/812128/0000812128-16-000024-index.html")</f>
        <v>http://www.sec.gov/Archives/edgar/data/812128/0000812128-16-000024-index.html</v>
      </c>
    </row>
    <row r="121" spans="1:6" x14ac:dyDescent="0.2">
      <c r="A121" t="s">
        <v>134</v>
      </c>
      <c r="B121" s="1">
        <v>90721</v>
      </c>
      <c r="C121" s="1">
        <v>4813</v>
      </c>
      <c r="D121" s="2">
        <v>42719</v>
      </c>
      <c r="E121" s="1" t="s">
        <v>18</v>
      </c>
      <c r="F121" t="str">
        <f>HYPERLINK("http://www.sec.gov/Archives/edgar/data/90721/0001017386-16-000646-index.html")</f>
        <v>http://www.sec.gov/Archives/edgar/data/90721/0001017386-16-000646-index.html</v>
      </c>
    </row>
    <row r="122" spans="1:6" x14ac:dyDescent="0.2">
      <c r="A122" t="s">
        <v>135</v>
      </c>
      <c r="B122" s="1">
        <v>1001258</v>
      </c>
      <c r="C122" s="1">
        <v>6153</v>
      </c>
      <c r="D122" s="2">
        <v>42718</v>
      </c>
      <c r="E122" s="1" t="s">
        <v>18</v>
      </c>
      <c r="F122" t="str">
        <f>HYPERLINK("http://www.sec.gov/Archives/edgar/data/1001258/0001437749-16-043365-index.html")</f>
        <v>http://www.sec.gov/Archives/edgar/data/1001258/0001437749-16-043365-index.html</v>
      </c>
    </row>
    <row r="123" spans="1:6" x14ac:dyDescent="0.2">
      <c r="A123" t="s">
        <v>136</v>
      </c>
      <c r="B123" s="1">
        <v>1039466</v>
      </c>
      <c r="C123" s="1">
        <v>3081</v>
      </c>
      <c r="D123" s="2">
        <v>42718</v>
      </c>
      <c r="E123" s="1" t="s">
        <v>18</v>
      </c>
      <c r="F123" t="str">
        <f>HYPERLINK("http://www.sec.gov/Archives/edgar/data/1039466/0001185185-16-005947-index.html")</f>
        <v>http://www.sec.gov/Archives/edgar/data/1039466/0001185185-16-005947-index.html</v>
      </c>
    </row>
    <row r="124" spans="1:6" x14ac:dyDescent="0.2">
      <c r="A124" t="s">
        <v>137</v>
      </c>
      <c r="B124" s="1">
        <v>1102432</v>
      </c>
      <c r="C124" s="1">
        <v>1311</v>
      </c>
      <c r="D124" s="2">
        <v>42718</v>
      </c>
      <c r="E124" s="1" t="s">
        <v>42</v>
      </c>
      <c r="F124" t="str">
        <f>HYPERLINK("http://www.sec.gov/Archives/edgar/data/1102432/0001477932-16-014081-index.html")</f>
        <v>http://www.sec.gov/Archives/edgar/data/1102432/0001477932-16-014081-index.html</v>
      </c>
    </row>
    <row r="125" spans="1:6" x14ac:dyDescent="0.2">
      <c r="A125" t="s">
        <v>138</v>
      </c>
      <c r="B125" s="1">
        <v>1313938</v>
      </c>
      <c r="C125" s="1">
        <v>2834</v>
      </c>
      <c r="D125" s="2">
        <v>42718</v>
      </c>
      <c r="E125" s="1" t="s">
        <v>18</v>
      </c>
      <c r="F125" t="str">
        <f>HYPERLINK("http://www.sec.gov/Archives/edgar/data/1313938/0001683168-16-000946-index.html")</f>
        <v>http://www.sec.gov/Archives/edgar/data/1313938/0001683168-16-000946-index.html</v>
      </c>
    </row>
    <row r="126" spans="1:6" x14ac:dyDescent="0.2">
      <c r="A126" t="s">
        <v>139</v>
      </c>
      <c r="B126" s="1">
        <v>1314052</v>
      </c>
      <c r="C126" s="1">
        <v>8731</v>
      </c>
      <c r="D126" s="2">
        <v>42718</v>
      </c>
      <c r="E126" s="1" t="s">
        <v>18</v>
      </c>
      <c r="F126" t="str">
        <f>HYPERLINK("http://www.sec.gov/Archives/edgar/data/1314052/0001615774-16-008914-index.html")</f>
        <v>http://www.sec.gov/Archives/edgar/data/1314052/0001615774-16-008914-index.html</v>
      </c>
    </row>
    <row r="127" spans="1:6" x14ac:dyDescent="0.2">
      <c r="A127" t="s">
        <v>140</v>
      </c>
      <c r="B127" s="1">
        <v>1378718</v>
      </c>
      <c r="C127" s="1">
        <v>5072</v>
      </c>
      <c r="D127" s="2">
        <v>42718</v>
      </c>
      <c r="E127" s="1" t="s">
        <v>42</v>
      </c>
      <c r="F127" t="str">
        <f>HYPERLINK("http://www.sec.gov/Archives/edgar/data/1378718/0001378718-16-000075-index.html")</f>
        <v>http://www.sec.gov/Archives/edgar/data/1378718/0001378718-16-000075-index.html</v>
      </c>
    </row>
    <row r="128" spans="1:6" x14ac:dyDescent="0.2">
      <c r="A128" t="s">
        <v>141</v>
      </c>
      <c r="B128" s="1">
        <v>1382230</v>
      </c>
      <c r="C128" s="1">
        <v>6036</v>
      </c>
      <c r="D128" s="2">
        <v>42718</v>
      </c>
      <c r="E128" s="1" t="s">
        <v>18</v>
      </c>
      <c r="F128" t="str">
        <f>HYPERLINK("http://www.sec.gov/Archives/edgar/data/1382230/0001564590-16-030211-index.html")</f>
        <v>http://www.sec.gov/Archives/edgar/data/1382230/0001564590-16-030211-index.html</v>
      </c>
    </row>
    <row r="129" spans="1:6" x14ac:dyDescent="0.2">
      <c r="A129" t="s">
        <v>142</v>
      </c>
      <c r="B129" s="1">
        <v>1445942</v>
      </c>
      <c r="C129" s="1">
        <v>1040</v>
      </c>
      <c r="D129" s="2">
        <v>42718</v>
      </c>
      <c r="E129" s="1" t="s">
        <v>18</v>
      </c>
      <c r="F129" t="str">
        <f>HYPERLINK("http://www.sec.gov/Archives/edgar/data/1445942/0001580695-16-000890-index.html")</f>
        <v>http://www.sec.gov/Archives/edgar/data/1445942/0001580695-16-000890-index.html</v>
      </c>
    </row>
    <row r="130" spans="1:6" x14ac:dyDescent="0.2">
      <c r="A130" t="s">
        <v>143</v>
      </c>
      <c r="B130" s="1">
        <v>1475273</v>
      </c>
      <c r="C130" s="1">
        <v>5960</v>
      </c>
      <c r="D130" s="2">
        <v>42718</v>
      </c>
      <c r="E130" s="1" t="s">
        <v>18</v>
      </c>
      <c r="F130" t="str">
        <f>HYPERLINK("http://www.sec.gov/Archives/edgar/data/1475273/0001553350-16-002812-index.html")</f>
        <v>http://www.sec.gov/Archives/edgar/data/1475273/0001553350-16-002812-index.html</v>
      </c>
    </row>
    <row r="131" spans="1:6" x14ac:dyDescent="0.2">
      <c r="A131" t="s">
        <v>144</v>
      </c>
      <c r="B131" s="1">
        <v>1500242</v>
      </c>
      <c r="C131" s="1">
        <v>2860</v>
      </c>
      <c r="D131" s="2">
        <v>42718</v>
      </c>
      <c r="E131" s="1" t="s">
        <v>18</v>
      </c>
      <c r="F131" t="str">
        <f>HYPERLINK("http://www.sec.gov/Archives/edgar/data/1500242/0001500242-16-000019-index.html")</f>
        <v>http://www.sec.gov/Archives/edgar/data/1500242/0001500242-16-000019-index.html</v>
      </c>
    </row>
    <row r="132" spans="1:6" x14ac:dyDescent="0.2">
      <c r="A132" t="s">
        <v>145</v>
      </c>
      <c r="B132" s="1">
        <v>1503658</v>
      </c>
      <c r="C132" s="1">
        <v>6500</v>
      </c>
      <c r="D132" s="2">
        <v>42718</v>
      </c>
      <c r="E132" s="1" t="s">
        <v>42</v>
      </c>
      <c r="F132" t="str">
        <f>HYPERLINK("http://www.sec.gov/Archives/edgar/data/1503658/0001654954-16-004847-index.html")</f>
        <v>http://www.sec.gov/Archives/edgar/data/1503658/0001654954-16-004847-index.html</v>
      </c>
    </row>
    <row r="133" spans="1:6" x14ac:dyDescent="0.2">
      <c r="A133" t="s">
        <v>145</v>
      </c>
      <c r="B133" s="1">
        <v>1503658</v>
      </c>
      <c r="C133" s="1">
        <v>6500</v>
      </c>
      <c r="D133" s="2">
        <v>42718</v>
      </c>
      <c r="E133" s="1" t="s">
        <v>42</v>
      </c>
      <c r="F133" t="str">
        <f>HYPERLINK("http://www.sec.gov/Archives/edgar/data/1503658/0001654954-16-004849-index.html")</f>
        <v>http://www.sec.gov/Archives/edgar/data/1503658/0001654954-16-004849-index.html</v>
      </c>
    </row>
    <row r="134" spans="1:6" x14ac:dyDescent="0.2">
      <c r="A134" t="s">
        <v>146</v>
      </c>
      <c r="B134" s="1">
        <v>1515003</v>
      </c>
      <c r="C134" s="1">
        <v>3670</v>
      </c>
      <c r="D134" s="2">
        <v>42718</v>
      </c>
      <c r="E134" s="1" t="s">
        <v>18</v>
      </c>
      <c r="F134" t="str">
        <f>HYPERLINK("http://www.sec.gov/Archives/edgar/data/1515003/0001515003-16-000092-index.html")</f>
        <v>http://www.sec.gov/Archives/edgar/data/1515003/0001515003-16-000092-index.html</v>
      </c>
    </row>
    <row r="135" spans="1:6" x14ac:dyDescent="0.2">
      <c r="A135" t="s">
        <v>147</v>
      </c>
      <c r="B135" s="1">
        <v>1535635</v>
      </c>
      <c r="C135" s="1">
        <v>7600</v>
      </c>
      <c r="D135" s="2">
        <v>42718</v>
      </c>
      <c r="E135" s="1" t="s">
        <v>18</v>
      </c>
      <c r="F135" t="str">
        <f>HYPERLINK("http://www.sec.gov/Archives/edgar/data/1535635/0001079973-16-001347-index.html")</f>
        <v>http://www.sec.gov/Archives/edgar/data/1535635/0001079973-16-001347-index.html</v>
      </c>
    </row>
    <row r="136" spans="1:6" x14ac:dyDescent="0.2">
      <c r="A136" t="s">
        <v>148</v>
      </c>
      <c r="B136" s="1">
        <v>1540159</v>
      </c>
      <c r="C136" s="1">
        <v>2834</v>
      </c>
      <c r="D136" s="2">
        <v>42718</v>
      </c>
      <c r="E136" s="1" t="s">
        <v>18</v>
      </c>
      <c r="F136" t="str">
        <f>HYPERLINK("http://www.sec.gov/Archives/edgar/data/1540159/0001144204-16-139528-index.html")</f>
        <v>http://www.sec.gov/Archives/edgar/data/1540159/0001144204-16-139528-index.html</v>
      </c>
    </row>
    <row r="137" spans="1:6" x14ac:dyDescent="0.2">
      <c r="A137" t="s">
        <v>149</v>
      </c>
      <c r="B137" s="1">
        <v>1550603</v>
      </c>
      <c r="C137" s="1">
        <v>6035</v>
      </c>
      <c r="D137" s="2">
        <v>42718</v>
      </c>
      <c r="E137" s="1" t="s">
        <v>18</v>
      </c>
      <c r="F137" t="str">
        <f>HYPERLINK("http://www.sec.gov/Archives/edgar/data/1550603/0001615774-16-008895-index.html")</f>
        <v>http://www.sec.gov/Archives/edgar/data/1550603/0001615774-16-008895-index.html</v>
      </c>
    </row>
    <row r="138" spans="1:6" x14ac:dyDescent="0.2">
      <c r="A138" t="s">
        <v>150</v>
      </c>
      <c r="B138" s="1">
        <v>1577791</v>
      </c>
      <c r="C138" s="1">
        <v>7372</v>
      </c>
      <c r="D138" s="2">
        <v>42718</v>
      </c>
      <c r="E138" s="1" t="s">
        <v>18</v>
      </c>
      <c r="F138" t="str">
        <f>HYPERLINK("http://www.sec.gov/Archives/edgar/data/1577791/0001577791-16-000046-index.html")</f>
        <v>http://www.sec.gov/Archives/edgar/data/1577791/0001577791-16-000046-index.html</v>
      </c>
    </row>
    <row r="139" spans="1:6" x14ac:dyDescent="0.2">
      <c r="A139" t="s">
        <v>151</v>
      </c>
      <c r="B139" s="1">
        <v>1578776</v>
      </c>
      <c r="C139" s="1">
        <v>6036</v>
      </c>
      <c r="D139" s="2">
        <v>42718</v>
      </c>
      <c r="E139" s="1" t="s">
        <v>18</v>
      </c>
      <c r="F139" t="str">
        <f>HYPERLINK("http://www.sec.gov/Archives/edgar/data/1578776/0001571049-16-020649-index.html")</f>
        <v>http://www.sec.gov/Archives/edgar/data/1578776/0001571049-16-020649-index.html</v>
      </c>
    </row>
    <row r="140" spans="1:6" x14ac:dyDescent="0.2">
      <c r="A140" t="s">
        <v>152</v>
      </c>
      <c r="B140" s="1">
        <v>1608638</v>
      </c>
      <c r="C140" s="1">
        <v>8082</v>
      </c>
      <c r="D140" s="2">
        <v>42718</v>
      </c>
      <c r="E140" s="1" t="s">
        <v>18</v>
      </c>
      <c r="F140" t="str">
        <f>HYPERLINK("http://www.sec.gov/Archives/edgar/data/1608638/0001628280-16-022032-index.html")</f>
        <v>http://www.sec.gov/Archives/edgar/data/1608638/0001628280-16-022032-index.html</v>
      </c>
    </row>
    <row r="141" spans="1:6" x14ac:dyDescent="0.2">
      <c r="A141" t="s">
        <v>153</v>
      </c>
      <c r="B141" s="1">
        <v>1622767</v>
      </c>
      <c r="C141" s="1">
        <v>2100</v>
      </c>
      <c r="D141" s="2">
        <v>42718</v>
      </c>
      <c r="E141" s="1" t="s">
        <v>18</v>
      </c>
      <c r="F141" t="str">
        <f>HYPERLINK("http://www.sec.gov/Archives/edgar/data/1622767/0001640334-16-002218-index.html")</f>
        <v>http://www.sec.gov/Archives/edgar/data/1622767/0001640334-16-002218-index.html</v>
      </c>
    </row>
    <row r="142" spans="1:6" x14ac:dyDescent="0.2">
      <c r="A142" t="s">
        <v>154</v>
      </c>
      <c r="B142" s="1">
        <v>1653882</v>
      </c>
      <c r="C142" s="1">
        <v>6770</v>
      </c>
      <c r="D142" s="2">
        <v>42718</v>
      </c>
      <c r="E142" s="1" t="s">
        <v>42</v>
      </c>
      <c r="F142" t="str">
        <f>HYPERLINK("http://www.sec.gov/Archives/edgar/data/1653882/0001617819-16-000169-index.html")</f>
        <v>http://www.sec.gov/Archives/edgar/data/1653882/0001617819-16-000169-index.html</v>
      </c>
    </row>
    <row r="143" spans="1:6" x14ac:dyDescent="0.2">
      <c r="A143" t="s">
        <v>155</v>
      </c>
      <c r="B143" s="1">
        <v>725363</v>
      </c>
      <c r="C143" s="1">
        <v>2836</v>
      </c>
      <c r="D143" s="2">
        <v>42718</v>
      </c>
      <c r="E143" s="1" t="s">
        <v>18</v>
      </c>
      <c r="F143" t="str">
        <f>HYPERLINK("http://www.sec.gov/Archives/edgar/data/725363/0001654954-16-004867-index.html")</f>
        <v>http://www.sec.gov/Archives/edgar/data/725363/0001654954-16-004867-index.html</v>
      </c>
    </row>
    <row r="144" spans="1:6" x14ac:dyDescent="0.2">
      <c r="A144" t="s">
        <v>156</v>
      </c>
      <c r="B144" s="1">
        <v>783412</v>
      </c>
      <c r="C144" s="1">
        <v>2711</v>
      </c>
      <c r="D144" s="2">
        <v>42718</v>
      </c>
      <c r="E144" s="1" t="s">
        <v>18</v>
      </c>
      <c r="F144" t="str">
        <f>HYPERLINK("http://www.sec.gov/Archives/edgar/data/783412/0001437749-16-043338-index.html")</f>
        <v>http://www.sec.gov/Archives/edgar/data/783412/0001437749-16-043338-index.html</v>
      </c>
    </row>
    <row r="145" spans="1:6" x14ac:dyDescent="0.2">
      <c r="A145" t="s">
        <v>157</v>
      </c>
      <c r="B145" s="1">
        <v>825410</v>
      </c>
      <c r="C145" s="1">
        <v>3829</v>
      </c>
      <c r="D145" s="2">
        <v>42718</v>
      </c>
      <c r="E145" s="1" t="s">
        <v>18</v>
      </c>
      <c r="F145" t="str">
        <f>HYPERLINK("http://www.sec.gov/Archives/edgar/data/825410/0000825410-16-000188-index.html")</f>
        <v>http://www.sec.gov/Archives/edgar/data/825410/0000825410-16-000188-index.html</v>
      </c>
    </row>
    <row r="146" spans="1:6" x14ac:dyDescent="0.2">
      <c r="A146" t="s">
        <v>158</v>
      </c>
      <c r="B146" s="1">
        <v>844538</v>
      </c>
      <c r="C146" s="1">
        <v>3630</v>
      </c>
      <c r="D146" s="2">
        <v>42718</v>
      </c>
      <c r="E146" s="1" t="s">
        <v>18</v>
      </c>
      <c r="F146" t="str">
        <f>HYPERLINK("http://www.sec.gov/Archives/edgar/data/844538/0001493152-16-015870-index.html")</f>
        <v>http://www.sec.gov/Archives/edgar/data/844538/0001493152-16-015870-index.html</v>
      </c>
    </row>
    <row r="147" spans="1:6" x14ac:dyDescent="0.2">
      <c r="A147" t="s">
        <v>159</v>
      </c>
      <c r="B147" s="1">
        <v>845385</v>
      </c>
      <c r="C147" s="1">
        <v>3564</v>
      </c>
      <c r="D147" s="2">
        <v>42718</v>
      </c>
      <c r="E147" s="1" t="s">
        <v>18</v>
      </c>
      <c r="F147" t="str">
        <f>HYPERLINK("http://www.sec.gov/Archives/edgar/data/845385/0001213900-16-019423-index.html")</f>
        <v>http://www.sec.gov/Archives/edgar/data/845385/0001213900-16-019423-index.html</v>
      </c>
    </row>
    <row r="148" spans="1:6" x14ac:dyDescent="0.2">
      <c r="A148" t="s">
        <v>160</v>
      </c>
      <c r="B148" s="1">
        <v>876523</v>
      </c>
      <c r="C148" s="1">
        <v>5900</v>
      </c>
      <c r="D148" s="2">
        <v>42718</v>
      </c>
      <c r="E148" s="1" t="s">
        <v>18</v>
      </c>
      <c r="F148" t="str">
        <f>HYPERLINK("http://www.sec.gov/Archives/edgar/data/876523/0000876523-16-000217-index.html")</f>
        <v>http://www.sec.gov/Archives/edgar/data/876523/0000876523-16-000217-index.html</v>
      </c>
    </row>
    <row r="149" spans="1:6" x14ac:dyDescent="0.2">
      <c r="A149" t="s">
        <v>161</v>
      </c>
      <c r="B149" s="1">
        <v>879407</v>
      </c>
      <c r="C149" s="1">
        <v>2834</v>
      </c>
      <c r="D149" s="2">
        <v>42718</v>
      </c>
      <c r="E149" s="1" t="s">
        <v>18</v>
      </c>
      <c r="F149" t="str">
        <f>HYPERLINK("http://www.sec.gov/Archives/edgar/data/879407/0001564590-16-030217-index.html")</f>
        <v>http://www.sec.gov/Archives/edgar/data/879407/0001564590-16-030217-index.html</v>
      </c>
    </row>
    <row r="150" spans="1:6" x14ac:dyDescent="0.2">
      <c r="A150" t="s">
        <v>162</v>
      </c>
      <c r="B150" s="1">
        <v>907471</v>
      </c>
      <c r="C150" s="1">
        <v>6035</v>
      </c>
      <c r="D150" s="2">
        <v>42718</v>
      </c>
      <c r="E150" s="1" t="s">
        <v>18</v>
      </c>
      <c r="F150" t="str">
        <f>HYPERLINK("http://www.sec.gov/Archives/edgar/data/907471/0000907471-16-000067-index.html")</f>
        <v>http://www.sec.gov/Archives/edgar/data/907471/0000907471-16-000067-index.html</v>
      </c>
    </row>
    <row r="151" spans="1:6" x14ac:dyDescent="0.2">
      <c r="A151" t="s">
        <v>163</v>
      </c>
      <c r="B151" s="1">
        <v>913760</v>
      </c>
      <c r="C151" s="1">
        <v>6200</v>
      </c>
      <c r="D151" s="2">
        <v>42718</v>
      </c>
      <c r="E151" s="1" t="s">
        <v>18</v>
      </c>
      <c r="F151" t="str">
        <f>HYPERLINK("http://www.sec.gov/Archives/edgar/data/913760/0000913760-16-000359-index.html")</f>
        <v>http://www.sec.gov/Archives/edgar/data/913760/0000913760-16-000359-index.html</v>
      </c>
    </row>
    <row r="152" spans="1:6" x14ac:dyDescent="0.2">
      <c r="A152" t="s">
        <v>164</v>
      </c>
      <c r="B152" s="1">
        <v>1343009</v>
      </c>
      <c r="C152" s="1">
        <v>2834</v>
      </c>
      <c r="D152" s="2">
        <v>42717</v>
      </c>
      <c r="E152" s="1" t="s">
        <v>18</v>
      </c>
      <c r="F152" t="str">
        <f>HYPERLINK("http://www.sec.gov/Archives/edgar/data/1343009/0001683168-16-000925-index.html")</f>
        <v>http://www.sec.gov/Archives/edgar/data/1343009/0001683168-16-000925-index.html</v>
      </c>
    </row>
    <row r="153" spans="1:6" x14ac:dyDescent="0.2">
      <c r="A153" t="s">
        <v>123</v>
      </c>
      <c r="B153" s="1">
        <v>1343254</v>
      </c>
      <c r="C153" s="1">
        <v>1382</v>
      </c>
      <c r="D153" s="2">
        <v>42717</v>
      </c>
      <c r="E153" s="1" t="s">
        <v>18</v>
      </c>
      <c r="F153" t="str">
        <f>HYPERLINK("http://www.sec.gov/Archives/edgar/data/1343254/0001165527-16-000956-index.html")</f>
        <v>http://www.sec.gov/Archives/edgar/data/1343254/0001165527-16-000956-index.html</v>
      </c>
    </row>
    <row r="154" spans="1:6" x14ac:dyDescent="0.2">
      <c r="A154" t="s">
        <v>165</v>
      </c>
      <c r="B154" s="1">
        <v>14846</v>
      </c>
      <c r="C154" s="1">
        <v>6798</v>
      </c>
      <c r="D154" s="2">
        <v>42717</v>
      </c>
      <c r="E154" s="1" t="s">
        <v>18</v>
      </c>
      <c r="F154" t="str">
        <f>HYPERLINK("http://www.sec.gov/Archives/edgar/data/14846/0000014846-16-000062-index.html")</f>
        <v>http://www.sec.gov/Archives/edgar/data/14846/0000014846-16-000062-index.html</v>
      </c>
    </row>
    <row r="155" spans="1:6" x14ac:dyDescent="0.2">
      <c r="A155" t="s">
        <v>145</v>
      </c>
      <c r="B155" s="1">
        <v>1503658</v>
      </c>
      <c r="C155" s="1">
        <v>6500</v>
      </c>
      <c r="D155" s="2">
        <v>42717</v>
      </c>
      <c r="E155" s="1" t="s">
        <v>18</v>
      </c>
      <c r="F155" t="str">
        <f>HYPERLINK("http://www.sec.gov/Archives/edgar/data/1503658/0001654954-16-004797-index.html")</f>
        <v>http://www.sec.gov/Archives/edgar/data/1503658/0001654954-16-004797-index.html</v>
      </c>
    </row>
    <row r="156" spans="1:6" x14ac:dyDescent="0.2">
      <c r="A156" t="s">
        <v>145</v>
      </c>
      <c r="B156" s="1">
        <v>1503658</v>
      </c>
      <c r="C156" s="1">
        <v>6500</v>
      </c>
      <c r="D156" s="2">
        <v>42717</v>
      </c>
      <c r="E156" s="1" t="s">
        <v>18</v>
      </c>
      <c r="F156" t="str">
        <f>HYPERLINK("http://www.sec.gov/Archives/edgar/data/1503658/0001654954-16-004804-index.html")</f>
        <v>http://www.sec.gov/Archives/edgar/data/1503658/0001654954-16-004804-index.html</v>
      </c>
    </row>
    <row r="157" spans="1:6" x14ac:dyDescent="0.2">
      <c r="A157" t="s">
        <v>166</v>
      </c>
      <c r="B157" s="1">
        <v>1537258</v>
      </c>
      <c r="C157" s="1">
        <v>5961</v>
      </c>
      <c r="D157" s="2">
        <v>42717</v>
      </c>
      <c r="E157" s="1" t="s">
        <v>18</v>
      </c>
      <c r="F157" t="str">
        <f>HYPERLINK("http://www.sec.gov/Archives/edgar/data/1537258/0001640334-16-002211-index.html")</f>
        <v>http://www.sec.gov/Archives/edgar/data/1537258/0001640334-16-002211-index.html</v>
      </c>
    </row>
    <row r="158" spans="1:6" x14ac:dyDescent="0.2">
      <c r="A158" t="s">
        <v>167</v>
      </c>
      <c r="B158" s="1">
        <v>1626745</v>
      </c>
      <c r="C158" s="1">
        <v>7370</v>
      </c>
      <c r="D158" s="2">
        <v>42717</v>
      </c>
      <c r="E158" s="1" t="s">
        <v>18</v>
      </c>
      <c r="F158" t="str">
        <f>HYPERLINK("http://www.sec.gov/Archives/edgar/data/1626745/0001493152-16-015846-index.html")</f>
        <v>http://www.sec.gov/Archives/edgar/data/1626745/0001493152-16-015846-index.html</v>
      </c>
    </row>
    <row r="159" spans="1:6" x14ac:dyDescent="0.2">
      <c r="A159" t="s">
        <v>154</v>
      </c>
      <c r="B159" s="1">
        <v>1653882</v>
      </c>
      <c r="C159" s="1">
        <v>6770</v>
      </c>
      <c r="D159" s="2">
        <v>42717</v>
      </c>
      <c r="E159" s="1" t="s">
        <v>18</v>
      </c>
      <c r="F159" t="str">
        <f>HYPERLINK("http://www.sec.gov/Archives/edgar/data/1653882/0001617819-16-000164-index.html")</f>
        <v>http://www.sec.gov/Archives/edgar/data/1653882/0001617819-16-000164-index.html</v>
      </c>
    </row>
    <row r="160" spans="1:6" x14ac:dyDescent="0.2">
      <c r="A160" t="s">
        <v>168</v>
      </c>
      <c r="B160" s="1">
        <v>788329</v>
      </c>
      <c r="C160" s="1">
        <v>3949</v>
      </c>
      <c r="D160" s="2">
        <v>42717</v>
      </c>
      <c r="E160" s="1" t="s">
        <v>18</v>
      </c>
      <c r="F160" t="str">
        <f>HYPERLINK("http://www.sec.gov/Archives/edgar/data/788329/0001140361-16-089543-index.html")</f>
        <v>http://www.sec.gov/Archives/edgar/data/788329/0001140361-16-089543-index.html</v>
      </c>
    </row>
    <row r="161" spans="1:6" x14ac:dyDescent="0.2">
      <c r="A161" t="s">
        <v>169</v>
      </c>
      <c r="B161" s="1">
        <v>854775</v>
      </c>
      <c r="C161" s="1">
        <v>3576</v>
      </c>
      <c r="D161" s="2">
        <v>42717</v>
      </c>
      <c r="E161" s="1" t="s">
        <v>18</v>
      </c>
      <c r="F161" t="str">
        <f>HYPERLINK("http://www.sec.gov/Archives/edgar/data/854775/0000854775-16-000039-index.html")</f>
        <v>http://www.sec.gov/Archives/edgar/data/854775/0000854775-16-000039-index.html</v>
      </c>
    </row>
    <row r="162" spans="1:6" x14ac:dyDescent="0.2">
      <c r="A162" t="s">
        <v>170</v>
      </c>
      <c r="B162" s="1">
        <v>874292</v>
      </c>
      <c r="C162" s="1">
        <v>5000</v>
      </c>
      <c r="D162" s="2">
        <v>42717</v>
      </c>
      <c r="E162" s="1" t="s">
        <v>18</v>
      </c>
      <c r="F162" t="str">
        <f>HYPERLINK("http://www.sec.gov/Archives/edgar/data/874292/0001445260-16-000094-index.html")</f>
        <v>http://www.sec.gov/Archives/edgar/data/874292/0001445260-16-000094-index.html</v>
      </c>
    </row>
    <row r="163" spans="1:6" x14ac:dyDescent="0.2">
      <c r="A163" t="s">
        <v>171</v>
      </c>
      <c r="B163" s="1">
        <v>935419</v>
      </c>
      <c r="C163" s="1">
        <v>5812</v>
      </c>
      <c r="D163" s="2">
        <v>42717</v>
      </c>
      <c r="E163" s="1" t="s">
        <v>18</v>
      </c>
      <c r="F163" t="str">
        <f>HYPERLINK("http://www.sec.gov/Archives/edgar/data/935419/0001493152-16-015847-index.html")</f>
        <v>http://www.sec.gov/Archives/edgar/data/935419/0001493152-16-015847-index.html</v>
      </c>
    </row>
    <row r="164" spans="1:6" x14ac:dyDescent="0.2">
      <c r="A164" t="s">
        <v>172</v>
      </c>
      <c r="B164" s="1">
        <v>1337013</v>
      </c>
      <c r="C164" s="1">
        <v>3841</v>
      </c>
      <c r="D164" s="2">
        <v>42716</v>
      </c>
      <c r="E164" s="1" t="s">
        <v>42</v>
      </c>
      <c r="F164" t="str">
        <f>HYPERLINK("http://www.sec.gov/Archives/edgar/data/1337013/0001193125-16-790843-index.html")</f>
        <v>http://www.sec.gov/Archives/edgar/data/1337013/0001193125-16-790843-index.html</v>
      </c>
    </row>
    <row r="165" spans="1:6" x14ac:dyDescent="0.2">
      <c r="A165" t="s">
        <v>173</v>
      </c>
      <c r="B165" s="1">
        <v>1338929</v>
      </c>
      <c r="C165" s="1">
        <v>5130</v>
      </c>
      <c r="D165" s="2">
        <v>42716</v>
      </c>
      <c r="E165" s="1" t="s">
        <v>18</v>
      </c>
      <c r="F165" t="str">
        <f>HYPERLINK("http://www.sec.gov/Archives/edgar/data/1338929/0001010549-16-000855-index.html")</f>
        <v>http://www.sec.gov/Archives/edgar/data/1338929/0001010549-16-000855-index.html</v>
      </c>
    </row>
    <row r="166" spans="1:6" x14ac:dyDescent="0.2">
      <c r="A166" t="s">
        <v>174</v>
      </c>
      <c r="B166" s="1">
        <v>1350420</v>
      </c>
      <c r="C166" s="1">
        <v>2860</v>
      </c>
      <c r="D166" s="2">
        <v>42716</v>
      </c>
      <c r="E166" s="1" t="s">
        <v>18</v>
      </c>
      <c r="F166" t="str">
        <f>HYPERLINK("http://www.sec.gov/Archives/edgar/data/1350420/0001350420-16-000040-index.html")</f>
        <v>http://www.sec.gov/Archives/edgar/data/1350420/0001350420-16-000040-index.html</v>
      </c>
    </row>
    <row r="167" spans="1:6" x14ac:dyDescent="0.2">
      <c r="A167" t="s">
        <v>175</v>
      </c>
      <c r="B167" s="1">
        <v>1387998</v>
      </c>
      <c r="C167" s="1">
        <v>1000</v>
      </c>
      <c r="D167" s="2">
        <v>42716</v>
      </c>
      <c r="E167" s="1" t="s">
        <v>18</v>
      </c>
      <c r="F167" t="str">
        <f>HYPERLINK("http://www.sec.gov/Archives/edgar/data/1387998/0001165527-16-000952-index.html")</f>
        <v>http://www.sec.gov/Archives/edgar/data/1387998/0001165527-16-000952-index.html</v>
      </c>
    </row>
    <row r="168" spans="1:6" x14ac:dyDescent="0.2">
      <c r="A168" t="s">
        <v>176</v>
      </c>
      <c r="B168" s="1">
        <v>1473490</v>
      </c>
      <c r="C168" s="1">
        <v>5960</v>
      </c>
      <c r="D168" s="2">
        <v>42716</v>
      </c>
      <c r="E168" s="1" t="s">
        <v>18</v>
      </c>
      <c r="F168" t="str">
        <f>HYPERLINK("http://www.sec.gov/Archives/edgar/data/1473490/0001493152-16-015797-index.html")</f>
        <v>http://www.sec.gov/Archives/edgar/data/1473490/0001493152-16-015797-index.html</v>
      </c>
    </row>
    <row r="169" spans="1:6" x14ac:dyDescent="0.2">
      <c r="A169" t="s">
        <v>177</v>
      </c>
      <c r="B169" s="1">
        <v>1603345</v>
      </c>
      <c r="C169" s="1">
        <v>2821</v>
      </c>
      <c r="D169" s="2">
        <v>42716</v>
      </c>
      <c r="E169" s="1" t="s">
        <v>18</v>
      </c>
      <c r="F169" t="str">
        <f>HYPERLINK("http://www.sec.gov/Archives/edgar/data/1603345/0001477932-16-014034-index.html")</f>
        <v>http://www.sec.gov/Archives/edgar/data/1603345/0001477932-16-014034-index.html</v>
      </c>
    </row>
    <row r="170" spans="1:6" x14ac:dyDescent="0.2">
      <c r="A170" t="s">
        <v>178</v>
      </c>
      <c r="B170" s="1">
        <v>17313</v>
      </c>
      <c r="C170" s="1">
        <v>6189</v>
      </c>
      <c r="D170" s="2">
        <v>42716</v>
      </c>
      <c r="E170" s="1" t="s">
        <v>42</v>
      </c>
      <c r="F170" t="str">
        <f>HYPERLINK("http://www.sec.gov/Archives/edgar/data/17313/0000017313-16-000027-index.html")</f>
        <v>http://www.sec.gov/Archives/edgar/data/17313/0000017313-16-000027-index.html</v>
      </c>
    </row>
    <row r="171" spans="1:6" x14ac:dyDescent="0.2">
      <c r="A171" t="s">
        <v>179</v>
      </c>
      <c r="B171" s="1">
        <v>38264</v>
      </c>
      <c r="C171" s="1">
        <v>3089</v>
      </c>
      <c r="D171" s="2">
        <v>42716</v>
      </c>
      <c r="E171" s="1" t="s">
        <v>18</v>
      </c>
      <c r="F171" t="str">
        <f>HYPERLINK("http://www.sec.gov/Archives/edgar/data/38264/0001003297-16-000907-index.html")</f>
        <v>http://www.sec.gov/Archives/edgar/data/38264/0001003297-16-000907-index.html</v>
      </c>
    </row>
    <row r="172" spans="1:6" x14ac:dyDescent="0.2">
      <c r="A172" t="s">
        <v>180</v>
      </c>
      <c r="B172" s="1">
        <v>844059</v>
      </c>
      <c r="C172" s="1">
        <v>6500</v>
      </c>
      <c r="D172" s="2">
        <v>42716</v>
      </c>
      <c r="E172" s="1" t="s">
        <v>18</v>
      </c>
      <c r="F172" t="str">
        <f>HYPERLINK("http://www.sec.gov/Archives/edgar/data/844059/0000844059-16-000041-index.html")</f>
        <v>http://www.sec.gov/Archives/edgar/data/844059/0000844059-16-000041-index.html</v>
      </c>
    </row>
    <row r="173" spans="1:6" x14ac:dyDescent="0.2">
      <c r="A173" t="s">
        <v>181</v>
      </c>
      <c r="B173" s="1">
        <v>849146</v>
      </c>
      <c r="C173" s="1">
        <v>2834</v>
      </c>
      <c r="D173" s="2">
        <v>42716</v>
      </c>
      <c r="E173" s="1" t="s">
        <v>18</v>
      </c>
      <c r="F173" t="str">
        <f>HYPERLINK("http://www.sec.gov/Archives/edgar/data/849146/0000849146-16-000207-index.html")</f>
        <v>http://www.sec.gov/Archives/edgar/data/849146/0000849146-16-000207-index.html</v>
      </c>
    </row>
    <row r="174" spans="1:6" x14ac:dyDescent="0.2">
      <c r="A174" t="s">
        <v>182</v>
      </c>
      <c r="B174" s="1">
        <v>863894</v>
      </c>
      <c r="C174" s="1">
        <v>3060</v>
      </c>
      <c r="D174" s="2">
        <v>42716</v>
      </c>
      <c r="E174" s="1" t="s">
        <v>18</v>
      </c>
      <c r="F174" t="str">
        <f>HYPERLINK("http://www.sec.gov/Archives/edgar/data/863894/0000863894-16-000032-index.html")</f>
        <v>http://www.sec.gov/Archives/edgar/data/863894/0000863894-16-000032-index.html</v>
      </c>
    </row>
    <row r="175" spans="1:6" x14ac:dyDescent="0.2">
      <c r="A175" t="s">
        <v>183</v>
      </c>
      <c r="B175" s="1">
        <v>883241</v>
      </c>
      <c r="C175" s="1">
        <v>7372</v>
      </c>
      <c r="D175" s="2">
        <v>42716</v>
      </c>
      <c r="E175" s="1" t="s">
        <v>18</v>
      </c>
      <c r="F175" t="str">
        <f>HYPERLINK("http://www.sec.gov/Archives/edgar/data/883241/0000883241-16-000027-index.html")</f>
        <v>http://www.sec.gov/Archives/edgar/data/883241/0000883241-16-000027-index.html</v>
      </c>
    </row>
    <row r="176" spans="1:6" x14ac:dyDescent="0.2">
      <c r="A176" t="s">
        <v>184</v>
      </c>
      <c r="B176" s="1">
        <v>1046050</v>
      </c>
      <c r="C176" s="1">
        <v>6036</v>
      </c>
      <c r="D176" s="2">
        <v>42713</v>
      </c>
      <c r="E176" s="1" t="s">
        <v>18</v>
      </c>
      <c r="F176" t="str">
        <f>HYPERLINK("http://www.sec.gov/Archives/edgar/data/1046050/0000939057-16-001117-index.html")</f>
        <v>http://www.sec.gov/Archives/edgar/data/1046050/0000939057-16-001117-index.html</v>
      </c>
    </row>
    <row r="177" spans="1:6" x14ac:dyDescent="0.2">
      <c r="A177" t="s">
        <v>185</v>
      </c>
      <c r="B177" s="1">
        <v>1048268</v>
      </c>
      <c r="C177" s="1">
        <v>1731</v>
      </c>
      <c r="D177" s="2">
        <v>42713</v>
      </c>
      <c r="E177" s="1" t="s">
        <v>18</v>
      </c>
      <c r="F177" t="str">
        <f>HYPERLINK("http://www.sec.gov/Archives/edgar/data/1048268/0001193125-16-789187-index.html")</f>
        <v>http://www.sec.gov/Archives/edgar/data/1048268/0001193125-16-789187-index.html</v>
      </c>
    </row>
    <row r="178" spans="1:6" x14ac:dyDescent="0.2">
      <c r="A178" t="s">
        <v>186</v>
      </c>
      <c r="B178" s="1">
        <v>1177648</v>
      </c>
      <c r="C178" s="1">
        <v>2834</v>
      </c>
      <c r="D178" s="2">
        <v>42713</v>
      </c>
      <c r="E178" s="1" t="s">
        <v>18</v>
      </c>
      <c r="F178" t="str">
        <f>HYPERLINK("http://www.sec.gov/Archives/edgar/data/1177648/0001193125-16-789660-index.html")</f>
        <v>http://www.sec.gov/Archives/edgar/data/1177648/0001193125-16-789660-index.html</v>
      </c>
    </row>
    <row r="179" spans="1:6" x14ac:dyDescent="0.2">
      <c r="A179" t="s">
        <v>187</v>
      </c>
      <c r="B179" s="1">
        <v>1478726</v>
      </c>
      <c r="C179" s="1">
        <v>6035</v>
      </c>
      <c r="D179" s="2">
        <v>42713</v>
      </c>
      <c r="E179" s="1" t="s">
        <v>18</v>
      </c>
      <c r="F179" t="str">
        <f>HYPERLINK("http://www.sec.gov/Archives/edgar/data/1478726/0001478726-16-000096-index.html")</f>
        <v>http://www.sec.gov/Archives/edgar/data/1478726/0001478726-16-000096-index.html</v>
      </c>
    </row>
    <row r="180" spans="1:6" x14ac:dyDescent="0.2">
      <c r="A180" t="s">
        <v>188</v>
      </c>
      <c r="B180" s="1">
        <v>1569568</v>
      </c>
      <c r="C180" s="1">
        <v>7822</v>
      </c>
      <c r="D180" s="2">
        <v>42713</v>
      </c>
      <c r="E180" s="1" t="s">
        <v>18</v>
      </c>
      <c r="F180" t="str">
        <f>HYPERLINK("http://www.sec.gov/Archives/edgar/data/1569568/0001078782-16-003927-index.html")</f>
        <v>http://www.sec.gov/Archives/edgar/data/1569568/0001078782-16-003927-index.html</v>
      </c>
    </row>
    <row r="181" spans="1:6" x14ac:dyDescent="0.2">
      <c r="A181" t="s">
        <v>189</v>
      </c>
      <c r="B181" s="1">
        <v>58361</v>
      </c>
      <c r="C181" s="1">
        <v>2711</v>
      </c>
      <c r="D181" s="2">
        <v>42713</v>
      </c>
      <c r="E181" s="1" t="s">
        <v>18</v>
      </c>
      <c r="F181" t="str">
        <f>HYPERLINK("http://www.sec.gov/Archives/edgar/data/58361/0000058361-16-000078-index.html")</f>
        <v>http://www.sec.gov/Archives/edgar/data/58361/0000058361-16-000078-index.html</v>
      </c>
    </row>
    <row r="182" spans="1:6" x14ac:dyDescent="0.2">
      <c r="A182" t="s">
        <v>190</v>
      </c>
      <c r="B182" s="1">
        <v>716688</v>
      </c>
      <c r="C182" s="1">
        <v>3679</v>
      </c>
      <c r="D182" s="2">
        <v>42713</v>
      </c>
      <c r="E182" s="1" t="s">
        <v>18</v>
      </c>
      <c r="F182" t="str">
        <f>HYPERLINK("http://www.sec.gov/Archives/edgar/data/716688/0001493152-16-015780-index.html")</f>
        <v>http://www.sec.gov/Archives/edgar/data/716688/0001493152-16-015780-index.html</v>
      </c>
    </row>
    <row r="183" spans="1:6" x14ac:dyDescent="0.2">
      <c r="A183" t="s">
        <v>191</v>
      </c>
      <c r="B183" s="1">
        <v>785557</v>
      </c>
      <c r="C183" s="1">
        <v>7363</v>
      </c>
      <c r="D183" s="2">
        <v>42713</v>
      </c>
      <c r="E183" s="1" t="s">
        <v>18</v>
      </c>
      <c r="F183" t="str">
        <f>HYPERLINK("http://www.sec.gov/Archives/edgar/data/785557/0000785557-16-000151-index.html")</f>
        <v>http://www.sec.gov/Archives/edgar/data/785557/0000785557-16-000151-index.html</v>
      </c>
    </row>
    <row r="184" spans="1:6" x14ac:dyDescent="0.2">
      <c r="A184" t="s">
        <v>192</v>
      </c>
      <c r="B184" s="1">
        <v>807863</v>
      </c>
      <c r="C184" s="1">
        <v>3577</v>
      </c>
      <c r="D184" s="2">
        <v>42713</v>
      </c>
      <c r="E184" s="1" t="s">
        <v>18</v>
      </c>
      <c r="F184" t="str">
        <f>HYPERLINK("http://www.sec.gov/Archives/edgar/data/807863/0001564590-16-030084-index.html")</f>
        <v>http://www.sec.gov/Archives/edgar/data/807863/0001564590-16-030084-index.html</v>
      </c>
    </row>
    <row r="185" spans="1:6" x14ac:dyDescent="0.2">
      <c r="A185" t="s">
        <v>193</v>
      </c>
      <c r="B185" s="1">
        <v>834365</v>
      </c>
      <c r="C185" s="1">
        <v>3845</v>
      </c>
      <c r="D185" s="2">
        <v>42713</v>
      </c>
      <c r="E185" s="1" t="s">
        <v>42</v>
      </c>
      <c r="F185" t="str">
        <f>HYPERLINK("http://www.sec.gov/Archives/edgar/data/834365/0001144204-16-138770-index.html")</f>
        <v>http://www.sec.gov/Archives/edgar/data/834365/0001144204-16-138770-index.html</v>
      </c>
    </row>
    <row r="186" spans="1:6" x14ac:dyDescent="0.2">
      <c r="A186" t="s">
        <v>194</v>
      </c>
      <c r="B186" s="1">
        <v>906193</v>
      </c>
      <c r="C186" s="1">
        <v>3550</v>
      </c>
      <c r="D186" s="2">
        <v>42713</v>
      </c>
      <c r="E186" s="1" t="s">
        <v>18</v>
      </c>
      <c r="F186" t="str">
        <f>HYPERLINK("http://www.sec.gov/Archives/edgar/data/906193/0000906193-16-000111-index.html")</f>
        <v>http://www.sec.gov/Archives/edgar/data/906193/0000906193-16-000111-index.html</v>
      </c>
    </row>
    <row r="187" spans="1:6" x14ac:dyDescent="0.2">
      <c r="A187" t="s">
        <v>195</v>
      </c>
      <c r="B187" s="1">
        <v>1069533</v>
      </c>
      <c r="C187" s="1">
        <v>4923</v>
      </c>
      <c r="D187" s="2">
        <v>42712</v>
      </c>
      <c r="E187" s="1" t="s">
        <v>18</v>
      </c>
      <c r="F187" t="str">
        <f>HYPERLINK("http://www.sec.gov/Archives/edgar/data/1069533/0001069533-16-000055-index.html")</f>
        <v>http://www.sec.gov/Archives/edgar/data/1069533/0001069533-16-000055-index.html</v>
      </c>
    </row>
    <row r="188" spans="1:6" x14ac:dyDescent="0.2">
      <c r="A188" t="s">
        <v>196</v>
      </c>
      <c r="B188" s="1">
        <v>1319161</v>
      </c>
      <c r="C188" s="1">
        <v>7900</v>
      </c>
      <c r="D188" s="2">
        <v>42712</v>
      </c>
      <c r="E188" s="1" t="s">
        <v>18</v>
      </c>
      <c r="F188" t="str">
        <f>HYPERLINK("http://www.sec.gov/Archives/edgar/data/1319161/0001564590-16-029963-index.html")</f>
        <v>http://www.sec.gov/Archives/edgar/data/1319161/0001564590-16-029963-index.html</v>
      </c>
    </row>
    <row r="189" spans="1:6" x14ac:dyDescent="0.2">
      <c r="A189" t="s">
        <v>197</v>
      </c>
      <c r="B189" s="1">
        <v>1490349</v>
      </c>
      <c r="C189" s="1">
        <v>6022</v>
      </c>
      <c r="D189" s="2">
        <v>42712</v>
      </c>
      <c r="E189" s="1" t="s">
        <v>18</v>
      </c>
      <c r="F189" t="str">
        <f>HYPERLINK("http://www.sec.gov/Archives/edgar/data/1490349/0001144204-16-138601-index.html")</f>
        <v>http://www.sec.gov/Archives/edgar/data/1490349/0001144204-16-138601-index.html</v>
      </c>
    </row>
    <row r="190" spans="1:6" x14ac:dyDescent="0.2">
      <c r="A190" t="s">
        <v>198</v>
      </c>
      <c r="B190" s="1">
        <v>1547459</v>
      </c>
      <c r="C190" s="1">
        <v>5411</v>
      </c>
      <c r="D190" s="2">
        <v>42712</v>
      </c>
      <c r="E190" s="1" t="s">
        <v>18</v>
      </c>
      <c r="F190" t="str">
        <f>HYPERLINK("http://www.sec.gov/Archives/edgar/data/1547459/0001437749-16-043133-index.html")</f>
        <v>http://www.sec.gov/Archives/edgar/data/1547459/0001437749-16-043133-index.html</v>
      </c>
    </row>
    <row r="191" spans="1:6" x14ac:dyDescent="0.2">
      <c r="A191" t="s">
        <v>199</v>
      </c>
      <c r="B191" s="1">
        <v>1564273</v>
      </c>
      <c r="C191" s="1">
        <v>2834</v>
      </c>
      <c r="D191" s="2">
        <v>42712</v>
      </c>
      <c r="E191" s="1" t="s">
        <v>18</v>
      </c>
      <c r="F191" t="str">
        <f>HYPERLINK("http://www.sec.gov/Archives/edgar/data/1564273/0001640334-16-002184-index.html")</f>
        <v>http://www.sec.gov/Archives/edgar/data/1564273/0001640334-16-002184-index.html</v>
      </c>
    </row>
    <row r="192" spans="1:6" x14ac:dyDescent="0.2">
      <c r="A192" t="s">
        <v>200</v>
      </c>
      <c r="B192" s="1">
        <v>1604416</v>
      </c>
      <c r="C192" s="1">
        <v>2860</v>
      </c>
      <c r="D192" s="2">
        <v>42712</v>
      </c>
      <c r="E192" s="1" t="s">
        <v>18</v>
      </c>
      <c r="F192" t="str">
        <f>HYPERLINK("http://www.sec.gov/Archives/edgar/data/1604416/0001628280-16-021898-index.html")</f>
        <v>http://www.sec.gov/Archives/edgar/data/1604416/0001628280-16-021898-index.html</v>
      </c>
    </row>
    <row r="193" spans="1:6" x14ac:dyDescent="0.2">
      <c r="A193" t="s">
        <v>201</v>
      </c>
      <c r="B193" s="1">
        <v>715446</v>
      </c>
      <c r="C193" s="1">
        <v>6794</v>
      </c>
      <c r="D193" s="2">
        <v>42712</v>
      </c>
      <c r="E193" s="1" t="s">
        <v>42</v>
      </c>
      <c r="F193" t="str">
        <f>HYPERLINK("http://www.sec.gov/Archives/edgar/data/715446/0001513162-16-001101-index.html")</f>
        <v>http://www.sec.gov/Archives/edgar/data/715446/0001513162-16-001101-index.html</v>
      </c>
    </row>
    <row r="194" spans="1:6" x14ac:dyDescent="0.2">
      <c r="A194" t="s">
        <v>202</v>
      </c>
      <c r="B194" s="1">
        <v>811830</v>
      </c>
      <c r="C194" s="1">
        <v>6021</v>
      </c>
      <c r="D194" s="2">
        <v>42712</v>
      </c>
      <c r="E194" s="1" t="s">
        <v>42</v>
      </c>
      <c r="F194" t="str">
        <f>HYPERLINK("http://www.sec.gov/Archives/edgar/data/811830/0000811830-16-000080-index.html")</f>
        <v>http://www.sec.gov/Archives/edgar/data/811830/0000811830-16-000080-index.html</v>
      </c>
    </row>
    <row r="195" spans="1:6" x14ac:dyDescent="0.2">
      <c r="A195" t="s">
        <v>203</v>
      </c>
      <c r="B195" s="1">
        <v>1002590</v>
      </c>
      <c r="C195" s="1">
        <v>5990</v>
      </c>
      <c r="D195" s="2">
        <v>42711</v>
      </c>
      <c r="E195" s="1" t="s">
        <v>18</v>
      </c>
      <c r="F195" t="str">
        <f>HYPERLINK("http://www.sec.gov/Archives/edgar/data/1002590/0001193125-16-787480-index.html")</f>
        <v>http://www.sec.gov/Archives/edgar/data/1002590/0001193125-16-787480-index.html</v>
      </c>
    </row>
    <row r="196" spans="1:6" x14ac:dyDescent="0.2">
      <c r="A196" t="s">
        <v>173</v>
      </c>
      <c r="B196" s="1">
        <v>1338929</v>
      </c>
      <c r="C196" s="1">
        <v>5130</v>
      </c>
      <c r="D196" s="2">
        <v>42711</v>
      </c>
      <c r="E196" s="1" t="s">
        <v>42</v>
      </c>
      <c r="F196" t="str">
        <f>HYPERLINK("http://www.sec.gov/Archives/edgar/data/1338929/0001010549-16-000837-index.html")</f>
        <v>http://www.sec.gov/Archives/edgar/data/1338929/0001010549-16-000837-index.html</v>
      </c>
    </row>
    <row r="197" spans="1:6" x14ac:dyDescent="0.2">
      <c r="A197" t="s">
        <v>204</v>
      </c>
      <c r="B197" s="1">
        <v>1445831</v>
      </c>
      <c r="C197" s="1">
        <v>7997</v>
      </c>
      <c r="D197" s="2">
        <v>42711</v>
      </c>
      <c r="E197" s="1" t="s">
        <v>18</v>
      </c>
      <c r="F197" t="str">
        <f>HYPERLINK("http://www.sec.gov/Archives/edgar/data/1445831/0001445831-16-000007-index.html")</f>
        <v>http://www.sec.gov/Archives/edgar/data/1445831/0001445831-16-000007-index.html</v>
      </c>
    </row>
    <row r="198" spans="1:6" x14ac:dyDescent="0.2">
      <c r="A198" t="s">
        <v>205</v>
      </c>
      <c r="B198" s="1">
        <v>1556416</v>
      </c>
      <c r="C198" s="1">
        <v>7200</v>
      </c>
      <c r="D198" s="2">
        <v>42711</v>
      </c>
      <c r="E198" s="1" t="s">
        <v>18</v>
      </c>
      <c r="F198" t="str">
        <f>HYPERLINK("http://www.sec.gov/Archives/edgar/data/1556416/0001477932-16-013956-index.html")</f>
        <v>http://www.sec.gov/Archives/edgar/data/1556416/0001477932-16-013956-index.html</v>
      </c>
    </row>
    <row r="199" spans="1:6" x14ac:dyDescent="0.2">
      <c r="A199" t="s">
        <v>201</v>
      </c>
      <c r="B199" s="1">
        <v>715446</v>
      </c>
      <c r="C199" s="1">
        <v>6794</v>
      </c>
      <c r="D199" s="2">
        <v>42711</v>
      </c>
      <c r="E199" s="1" t="s">
        <v>18</v>
      </c>
      <c r="F199" t="str">
        <f>HYPERLINK("http://www.sec.gov/Archives/edgar/data/715446/0001513162-16-001096-index.html")</f>
        <v>http://www.sec.gov/Archives/edgar/data/715446/0001513162-16-001096-index.html</v>
      </c>
    </row>
    <row r="200" spans="1:6" x14ac:dyDescent="0.2">
      <c r="A200" t="s">
        <v>206</v>
      </c>
      <c r="B200" s="1">
        <v>80420</v>
      </c>
      <c r="C200" s="1">
        <v>3613</v>
      </c>
      <c r="D200" s="2">
        <v>42711</v>
      </c>
      <c r="E200" s="1" t="s">
        <v>18</v>
      </c>
      <c r="F200" t="str">
        <f>HYPERLINK("http://www.sec.gov/Archives/edgar/data/80420/0001564590-16-029924-index.html")</f>
        <v>http://www.sec.gov/Archives/edgar/data/80420/0001564590-16-029924-index.html</v>
      </c>
    </row>
    <row r="201" spans="1:6" x14ac:dyDescent="0.2">
      <c r="A201" t="s">
        <v>207</v>
      </c>
      <c r="B201" s="1">
        <v>808326</v>
      </c>
      <c r="C201" s="1">
        <v>3674</v>
      </c>
      <c r="D201" s="2">
        <v>42711</v>
      </c>
      <c r="E201" s="1" t="s">
        <v>18</v>
      </c>
      <c r="F201" t="str">
        <f>HYPERLINK("http://www.sec.gov/Archives/edgar/data/808326/0000808326-16-000081-index.html")</f>
        <v>http://www.sec.gov/Archives/edgar/data/808326/0000808326-16-000081-index.html</v>
      </c>
    </row>
    <row r="202" spans="1:6" x14ac:dyDescent="0.2">
      <c r="A202" t="s">
        <v>208</v>
      </c>
      <c r="B202" s="1">
        <v>924383</v>
      </c>
      <c r="C202" s="1">
        <v>3651</v>
      </c>
      <c r="D202" s="2">
        <v>42711</v>
      </c>
      <c r="E202" s="1" t="s">
        <v>18</v>
      </c>
      <c r="F202" t="str">
        <f>HYPERLINK("http://www.sec.gov/Archives/edgar/data/924383/0001437749-16-043040-index.html")</f>
        <v>http://www.sec.gov/Archives/edgar/data/924383/0001437749-16-043040-index.html</v>
      </c>
    </row>
    <row r="203" spans="1:6" x14ac:dyDescent="0.2">
      <c r="A203" t="s">
        <v>209</v>
      </c>
      <c r="B203" s="1">
        <v>1057060</v>
      </c>
      <c r="C203" s="1">
        <v>5531</v>
      </c>
      <c r="D203" s="2">
        <v>42710</v>
      </c>
      <c r="E203" s="1" t="s">
        <v>18</v>
      </c>
      <c r="F203" t="str">
        <f>HYPERLINK("http://www.sec.gov/Archives/edgar/data/1057060/0001564590-16-029870-index.html")</f>
        <v>http://www.sec.gov/Archives/edgar/data/1057060/0001564590-16-029870-index.html</v>
      </c>
    </row>
    <row r="204" spans="1:6" x14ac:dyDescent="0.2">
      <c r="A204" t="s">
        <v>210</v>
      </c>
      <c r="B204" s="1">
        <v>1550913</v>
      </c>
      <c r="C204" s="1">
        <v>1382</v>
      </c>
      <c r="D204" s="2">
        <v>42710</v>
      </c>
      <c r="E204" s="1" t="s">
        <v>42</v>
      </c>
      <c r="F204" t="str">
        <f>HYPERLINK("http://www.sec.gov/Archives/edgar/data/1550913/0001550913-16-000205-index.html")</f>
        <v>http://www.sec.gov/Archives/edgar/data/1550913/0001550913-16-000205-index.html</v>
      </c>
    </row>
    <row r="205" spans="1:6" x14ac:dyDescent="0.2">
      <c r="A205" t="s">
        <v>211</v>
      </c>
      <c r="B205" s="1">
        <v>1557644</v>
      </c>
      <c r="C205" s="1">
        <v>8742</v>
      </c>
      <c r="D205" s="2">
        <v>42710</v>
      </c>
      <c r="E205" s="1" t="s">
        <v>18</v>
      </c>
      <c r="F205" t="str">
        <f>HYPERLINK("http://www.sec.gov/Archives/edgar/data/1557644/0001615774-16-008741-index.html")</f>
        <v>http://www.sec.gov/Archives/edgar/data/1557644/0001615774-16-008741-index.html</v>
      </c>
    </row>
    <row r="206" spans="1:6" x14ac:dyDescent="0.2">
      <c r="A206" t="s">
        <v>212</v>
      </c>
      <c r="B206" s="1">
        <v>1629205</v>
      </c>
      <c r="C206" s="1">
        <v>7374</v>
      </c>
      <c r="D206" s="2">
        <v>42710</v>
      </c>
      <c r="E206" s="1" t="s">
        <v>18</v>
      </c>
      <c r="F206" t="str">
        <f>HYPERLINK("http://www.sec.gov/Archives/edgar/data/1629205/0001477932-16-013939-index.html")</f>
        <v>http://www.sec.gov/Archives/edgar/data/1629205/0001477932-16-013939-index.html</v>
      </c>
    </row>
    <row r="207" spans="1:6" x14ac:dyDescent="0.2">
      <c r="A207" t="s">
        <v>213</v>
      </c>
      <c r="B207" s="1">
        <v>3545</v>
      </c>
      <c r="C207" s="1">
        <v>100</v>
      </c>
      <c r="D207" s="2">
        <v>42710</v>
      </c>
      <c r="E207" s="1" t="s">
        <v>18</v>
      </c>
      <c r="F207" t="str">
        <f>HYPERLINK("http://www.sec.gov/Archives/edgar/data/3545/0000003545-16-000188-index.html")</f>
        <v>http://www.sec.gov/Archives/edgar/data/3545/0000003545-16-000188-index.html</v>
      </c>
    </row>
    <row r="208" spans="1:6" x14ac:dyDescent="0.2">
      <c r="A208" t="s">
        <v>214</v>
      </c>
      <c r="B208" s="1">
        <v>744452</v>
      </c>
      <c r="C208" s="1">
        <v>7380</v>
      </c>
      <c r="D208" s="2">
        <v>42710</v>
      </c>
      <c r="E208" s="1" t="s">
        <v>18</v>
      </c>
      <c r="F208" t="str">
        <f>HYPERLINK("http://www.sec.gov/Archives/edgar/data/744452/0001571049-16-020376-index.html")</f>
        <v>http://www.sec.gov/Archives/edgar/data/744452/0001571049-16-020376-index.html</v>
      </c>
    </row>
    <row r="209" spans="1:6" x14ac:dyDescent="0.2">
      <c r="A209" t="s">
        <v>215</v>
      </c>
      <c r="B209" s="1">
        <v>90168</v>
      </c>
      <c r="C209" s="1">
        <v>3724</v>
      </c>
      <c r="D209" s="2">
        <v>42710</v>
      </c>
      <c r="E209" s="1" t="s">
        <v>18</v>
      </c>
      <c r="F209" t="str">
        <f>HYPERLINK("http://www.sec.gov/Archives/edgar/data/90168/0000090168-16-000108-index.html")</f>
        <v>http://www.sec.gov/Archives/edgar/data/90168/0000090168-16-000108-index.html</v>
      </c>
    </row>
    <row r="210" spans="1:6" x14ac:dyDescent="0.2">
      <c r="A210" t="s">
        <v>216</v>
      </c>
      <c r="B210" s="1">
        <v>1442101</v>
      </c>
      <c r="C210" s="1">
        <v>7389</v>
      </c>
      <c r="D210" s="2">
        <v>42709</v>
      </c>
      <c r="E210" s="1" t="s">
        <v>42</v>
      </c>
      <c r="F210" t="str">
        <f>HYPERLINK("http://www.sec.gov/Archives/edgar/data/1442101/0001661582-16-000028-index.html")</f>
        <v>http://www.sec.gov/Archives/edgar/data/1442101/0001661582-16-000028-index.html</v>
      </c>
    </row>
    <row r="211" spans="1:6" x14ac:dyDescent="0.2">
      <c r="A211" t="s">
        <v>217</v>
      </c>
      <c r="B211" s="1">
        <v>1471727</v>
      </c>
      <c r="C211" s="1">
        <v>2086</v>
      </c>
      <c r="D211" s="2">
        <v>42709</v>
      </c>
      <c r="E211" s="1" t="s">
        <v>18</v>
      </c>
      <c r="F211" t="str">
        <f>HYPERLINK("http://www.sec.gov/Archives/edgar/data/1471727/0001185185-16-005898-index.html")</f>
        <v>http://www.sec.gov/Archives/edgar/data/1471727/0001185185-16-005898-index.html</v>
      </c>
    </row>
    <row r="212" spans="1:6" x14ac:dyDescent="0.2">
      <c r="A212" t="s">
        <v>218</v>
      </c>
      <c r="B212" s="1">
        <v>1537561</v>
      </c>
      <c r="C212" s="1">
        <v>3841</v>
      </c>
      <c r="D212" s="2">
        <v>42709</v>
      </c>
      <c r="E212" s="1" t="s">
        <v>18</v>
      </c>
      <c r="F212" t="str">
        <f>HYPERLINK("http://www.sec.gov/Archives/edgar/data/1537561/0001144204-16-137852-index.html")</f>
        <v>http://www.sec.gov/Archives/edgar/data/1537561/0001144204-16-137852-index.html</v>
      </c>
    </row>
    <row r="213" spans="1:6" x14ac:dyDescent="0.2">
      <c r="A213" t="s">
        <v>219</v>
      </c>
      <c r="B213" s="1">
        <v>1582054</v>
      </c>
      <c r="C213" s="1">
        <v>5047</v>
      </c>
      <c r="D213" s="2">
        <v>42709</v>
      </c>
      <c r="E213" s="1" t="s">
        <v>18</v>
      </c>
      <c r="F213" t="str">
        <f>HYPERLINK("http://www.sec.gov/Archives/edgar/data/1582054/0001062993-16-012610-index.html")</f>
        <v>http://www.sec.gov/Archives/edgar/data/1582054/0001062993-16-012610-index.html</v>
      </c>
    </row>
    <row r="214" spans="1:6" x14ac:dyDescent="0.2">
      <c r="A214" t="s">
        <v>220</v>
      </c>
      <c r="B214" s="1">
        <v>1599947</v>
      </c>
      <c r="C214" s="1">
        <v>4911</v>
      </c>
      <c r="D214" s="2">
        <v>42709</v>
      </c>
      <c r="E214" s="1" t="s">
        <v>18</v>
      </c>
      <c r="F214" t="str">
        <f>HYPERLINK("http://www.sec.gov/Archives/edgar/data/1599947/0001599947-16-000244-index.html")</f>
        <v>http://www.sec.gov/Archives/edgar/data/1599947/0001599947-16-000244-index.html</v>
      </c>
    </row>
    <row r="215" spans="1:6" x14ac:dyDescent="0.2">
      <c r="A215" t="s">
        <v>221</v>
      </c>
      <c r="B215" s="1">
        <v>1616741</v>
      </c>
      <c r="C215" s="1">
        <v>4210</v>
      </c>
      <c r="D215" s="2">
        <v>42709</v>
      </c>
      <c r="E215" s="1" t="s">
        <v>18</v>
      </c>
      <c r="F215" t="str">
        <f>HYPERLINK("http://www.sec.gov/Archives/edgar/data/1616741/0001616741-16-000033-index.html")</f>
        <v>http://www.sec.gov/Archives/edgar/data/1616741/0001616741-16-000033-index.html</v>
      </c>
    </row>
    <row r="216" spans="1:6" x14ac:dyDescent="0.2">
      <c r="A216" t="s">
        <v>222</v>
      </c>
      <c r="B216" s="1">
        <v>1106645</v>
      </c>
      <c r="C216" s="1">
        <v>7372</v>
      </c>
      <c r="D216" s="2">
        <v>42706</v>
      </c>
      <c r="E216" s="1" t="s">
        <v>42</v>
      </c>
      <c r="F216" t="str">
        <f>HYPERLINK("http://www.sec.gov/Archives/edgar/data/1106645/0001477932-16-013913-index.html")</f>
        <v>http://www.sec.gov/Archives/edgar/data/1106645/0001477932-16-013913-index.html</v>
      </c>
    </row>
    <row r="217" spans="1:6" x14ac:dyDescent="0.2">
      <c r="A217" t="s">
        <v>223</v>
      </c>
      <c r="B217" s="1">
        <v>1553326</v>
      </c>
      <c r="C217" s="1">
        <v>6022</v>
      </c>
      <c r="D217" s="2">
        <v>42706</v>
      </c>
      <c r="E217" s="1" t="s">
        <v>18</v>
      </c>
      <c r="F217" t="str">
        <f>HYPERLINK("http://www.sec.gov/Archives/edgar/data/1553326/0001553326-16-000106-index.html")</f>
        <v>http://www.sec.gov/Archives/edgar/data/1553326/0001553326-16-000106-index.html</v>
      </c>
    </row>
    <row r="218" spans="1:6" x14ac:dyDescent="0.2">
      <c r="A218" t="s">
        <v>224</v>
      </c>
      <c r="B218" s="1">
        <v>64472</v>
      </c>
      <c r="C218" s="1">
        <v>3531</v>
      </c>
      <c r="D218" s="2">
        <v>42706</v>
      </c>
      <c r="E218" s="1" t="s">
        <v>18</v>
      </c>
      <c r="F218" t="str">
        <f>HYPERLINK("http://www.sec.gov/Archives/edgar/data/64472/0001193125-16-783228-index.html")</f>
        <v>http://www.sec.gov/Archives/edgar/data/64472/0001193125-16-783228-index.html</v>
      </c>
    </row>
    <row r="219" spans="1:6" x14ac:dyDescent="0.2">
      <c r="A219" t="s">
        <v>225</v>
      </c>
      <c r="B219" s="1">
        <v>887733</v>
      </c>
      <c r="C219" s="1">
        <v>5190</v>
      </c>
      <c r="D219" s="2">
        <v>42706</v>
      </c>
      <c r="E219" s="1" t="s">
        <v>18</v>
      </c>
      <c r="F219" t="str">
        <f>HYPERLINK("http://www.sec.gov/Archives/edgar/data/887733/0001628280-16-021764-index.html")</f>
        <v>http://www.sec.gov/Archives/edgar/data/887733/0001628280-16-021764-index.html</v>
      </c>
    </row>
    <row r="220" spans="1:6" x14ac:dyDescent="0.2">
      <c r="A220" t="s">
        <v>226</v>
      </c>
      <c r="B220" s="1">
        <v>924717</v>
      </c>
      <c r="C220" s="1">
        <v>3841</v>
      </c>
      <c r="D220" s="2">
        <v>42706</v>
      </c>
      <c r="E220" s="1" t="s">
        <v>18</v>
      </c>
      <c r="F220" t="str">
        <f>HYPERLINK("http://www.sec.gov/Archives/edgar/data/924717/0001564590-16-029755-index.html")</f>
        <v>http://www.sec.gov/Archives/edgar/data/924717/0001564590-16-029755-index.html</v>
      </c>
    </row>
    <row r="221" spans="1:6" x14ac:dyDescent="0.2">
      <c r="A221" t="s">
        <v>227</v>
      </c>
      <c r="B221" s="1">
        <v>1113256</v>
      </c>
      <c r="C221" s="1">
        <v>3714</v>
      </c>
      <c r="D221" s="2">
        <v>42705</v>
      </c>
      <c r="E221" s="1" t="s">
        <v>18</v>
      </c>
      <c r="F221" t="str">
        <f>HYPERLINK("http://www.sec.gov/Archives/edgar/data/1113256/0001113256-16-000092-index.html")</f>
        <v>http://www.sec.gov/Archives/edgar/data/1113256/0001113256-16-000092-index.html</v>
      </c>
    </row>
    <row r="222" spans="1:6" x14ac:dyDescent="0.2">
      <c r="A222" t="s">
        <v>228</v>
      </c>
      <c r="B222" s="1">
        <v>1145255</v>
      </c>
      <c r="C222" s="1">
        <v>6282</v>
      </c>
      <c r="D222" s="2">
        <v>42705</v>
      </c>
      <c r="E222" s="1" t="s">
        <v>18</v>
      </c>
      <c r="F222" t="str">
        <f>HYPERLINK("http://www.sec.gov/Archives/edgar/data/1145255/0001193125-16-782532-index.html")</f>
        <v>http://www.sec.gov/Archives/edgar/data/1145255/0001193125-16-782532-index.html</v>
      </c>
    </row>
    <row r="223" spans="1:6" x14ac:dyDescent="0.2">
      <c r="A223" t="s">
        <v>229</v>
      </c>
      <c r="B223" s="1">
        <v>1505367</v>
      </c>
      <c r="C223" s="1">
        <v>6770</v>
      </c>
      <c r="D223" s="2">
        <v>42705</v>
      </c>
      <c r="E223" s="1" t="s">
        <v>42</v>
      </c>
      <c r="F223" t="str">
        <f>HYPERLINK("http://www.sec.gov/Archives/edgar/data/1505367/0001078782-16-003886-index.html")</f>
        <v>http://www.sec.gov/Archives/edgar/data/1505367/0001078782-16-003886-index.html</v>
      </c>
    </row>
    <row r="224" spans="1:6" x14ac:dyDescent="0.2">
      <c r="A224" t="s">
        <v>230</v>
      </c>
      <c r="B224" s="1">
        <v>1580883</v>
      </c>
      <c r="C224" s="1">
        <v>5731</v>
      </c>
      <c r="D224" s="2">
        <v>42705</v>
      </c>
      <c r="E224" s="1" t="s">
        <v>42</v>
      </c>
      <c r="F224" t="str">
        <f>HYPERLINK("http://www.sec.gov/Archives/edgar/data/1580883/0001078782-16-003890-index.html")</f>
        <v>http://www.sec.gov/Archives/edgar/data/1580883/0001078782-16-003890-index.html</v>
      </c>
    </row>
    <row r="225" spans="1:6" x14ac:dyDescent="0.2">
      <c r="A225" t="s">
        <v>231</v>
      </c>
      <c r="B225" s="1">
        <v>1621221</v>
      </c>
      <c r="C225" s="1">
        <v>7389</v>
      </c>
      <c r="D225" s="2">
        <v>42705</v>
      </c>
      <c r="E225" s="1" t="s">
        <v>42</v>
      </c>
      <c r="F225" t="str">
        <f>HYPERLINK("http://www.sec.gov/Archives/edgar/data/1621221/0001640334-16-002151-index.html")</f>
        <v>http://www.sec.gov/Archives/edgar/data/1621221/0001640334-16-002151-index.html</v>
      </c>
    </row>
    <row r="226" spans="1:6" x14ac:dyDescent="0.2">
      <c r="A226" t="s">
        <v>232</v>
      </c>
      <c r="B226" s="1">
        <v>820771</v>
      </c>
      <c r="C226" s="1">
        <v>7822</v>
      </c>
      <c r="D226" s="2">
        <v>42705</v>
      </c>
      <c r="E226" s="1" t="s">
        <v>18</v>
      </c>
      <c r="F226" t="str">
        <f>HYPERLINK("http://www.sec.gov/Archives/edgar/data/820771/0001493152-16-015567-index.html")</f>
        <v>http://www.sec.gov/Archives/edgar/data/820771/0001493152-16-015567-index.html</v>
      </c>
    </row>
    <row r="227" spans="1:6" x14ac:dyDescent="0.2">
      <c r="A227" t="s">
        <v>233</v>
      </c>
      <c r="B227" s="1">
        <v>1261654</v>
      </c>
      <c r="C227" s="1">
        <v>8200</v>
      </c>
      <c r="D227" s="2">
        <v>42704</v>
      </c>
      <c r="E227" s="1" t="s">
        <v>18</v>
      </c>
      <c r="F227" t="str">
        <f>HYPERLINK("http://www.sec.gov/Archives/edgar/data/1261654/0001261654-16-000085-index.html")</f>
        <v>http://www.sec.gov/Archives/edgar/data/1261654/0001261654-16-000085-index.html</v>
      </c>
    </row>
    <row r="228" spans="1:6" x14ac:dyDescent="0.2">
      <c r="A228" t="s">
        <v>234</v>
      </c>
      <c r="B228" s="1">
        <v>1310630</v>
      </c>
      <c r="C228" s="1">
        <v>6770</v>
      </c>
      <c r="D228" s="2">
        <v>42704</v>
      </c>
      <c r="E228" s="1" t="s">
        <v>18</v>
      </c>
      <c r="F228" t="str">
        <f>HYPERLINK("http://www.sec.gov/Archives/edgar/data/1310630/0001548123-16-000748-index.html")</f>
        <v>http://www.sec.gov/Archives/edgar/data/1310630/0001548123-16-000748-index.html</v>
      </c>
    </row>
    <row r="229" spans="1:6" x14ac:dyDescent="0.2">
      <c r="A229" t="s">
        <v>235</v>
      </c>
      <c r="B229" s="1">
        <v>1378992</v>
      </c>
      <c r="C229" s="1">
        <v>3089</v>
      </c>
      <c r="D229" s="2">
        <v>42704</v>
      </c>
      <c r="E229" s="1" t="s">
        <v>18</v>
      </c>
      <c r="F229" t="str">
        <f>HYPERLINK("http://www.sec.gov/Archives/edgar/data/1378992/0001378992-16-000097-index.html")</f>
        <v>http://www.sec.gov/Archives/edgar/data/1378992/0001378992-16-000097-index.html</v>
      </c>
    </row>
    <row r="230" spans="1:6" x14ac:dyDescent="0.2">
      <c r="A230" t="s">
        <v>236</v>
      </c>
      <c r="B230" s="1">
        <v>1415744</v>
      </c>
      <c r="C230" s="1">
        <v>1040</v>
      </c>
      <c r="D230" s="2">
        <v>42704</v>
      </c>
      <c r="E230" s="1" t="s">
        <v>18</v>
      </c>
      <c r="F230" t="str">
        <f>HYPERLINK("http://www.sec.gov/Archives/edgar/data/1415744/0001213900-16-019063-index.html")</f>
        <v>http://www.sec.gov/Archives/edgar/data/1415744/0001213900-16-019063-index.html</v>
      </c>
    </row>
    <row r="231" spans="1:6" x14ac:dyDescent="0.2">
      <c r="A231" t="s">
        <v>237</v>
      </c>
      <c r="B231" s="1">
        <v>1539680</v>
      </c>
      <c r="C231" s="1">
        <v>4899</v>
      </c>
      <c r="D231" s="2">
        <v>42704</v>
      </c>
      <c r="E231" s="1" t="s">
        <v>18</v>
      </c>
      <c r="F231" t="str">
        <f>HYPERLINK("http://www.sec.gov/Archives/edgar/data/1539680/0001078782-16-003884-index.html")</f>
        <v>http://www.sec.gov/Archives/edgar/data/1539680/0001078782-16-003884-index.html</v>
      </c>
    </row>
    <row r="232" spans="1:6" x14ac:dyDescent="0.2">
      <c r="A232" t="s">
        <v>238</v>
      </c>
      <c r="B232" s="1">
        <v>1586452</v>
      </c>
      <c r="C232" s="1">
        <v>7389</v>
      </c>
      <c r="D232" s="2">
        <v>42704</v>
      </c>
      <c r="E232" s="1" t="s">
        <v>18</v>
      </c>
      <c r="F232" t="str">
        <f>HYPERLINK("http://www.sec.gov/Archives/edgar/data/1586452/0001213900-16-019056-index.html")</f>
        <v>http://www.sec.gov/Archives/edgar/data/1586452/0001213900-16-019056-index.html</v>
      </c>
    </row>
    <row r="233" spans="1:6" x14ac:dyDescent="0.2">
      <c r="A233" t="s">
        <v>239</v>
      </c>
      <c r="B233" s="1">
        <v>1658304</v>
      </c>
      <c r="C233" s="1">
        <v>7389</v>
      </c>
      <c r="D233" s="2">
        <v>42704</v>
      </c>
      <c r="E233" s="1" t="s">
        <v>18</v>
      </c>
      <c r="F233" t="str">
        <f>HYPERLINK("http://www.sec.gov/Archives/edgar/data/1658304/0001477932-16-013892-index.html")</f>
        <v>http://www.sec.gov/Archives/edgar/data/1658304/0001477932-16-013892-index.html</v>
      </c>
    </row>
    <row r="234" spans="1:6" x14ac:dyDescent="0.2">
      <c r="A234" t="s">
        <v>240</v>
      </c>
      <c r="B234" s="1">
        <v>720500</v>
      </c>
      <c r="C234" s="1">
        <v>3559</v>
      </c>
      <c r="D234" s="2">
        <v>42704</v>
      </c>
      <c r="E234" s="1" t="s">
        <v>18</v>
      </c>
      <c r="F234" t="str">
        <f>HYPERLINK("http://www.sec.gov/Archives/edgar/data/720500/0000720500-16-000116-index.html")</f>
        <v>http://www.sec.gov/Archives/edgar/data/720500/0000720500-16-000116-index.html</v>
      </c>
    </row>
    <row r="235" spans="1:6" x14ac:dyDescent="0.2">
      <c r="A235" t="s">
        <v>241</v>
      </c>
      <c r="B235" s="1">
        <v>827871</v>
      </c>
      <c r="C235" s="1">
        <v>2834</v>
      </c>
      <c r="D235" s="2">
        <v>42704</v>
      </c>
      <c r="E235" s="1" t="s">
        <v>42</v>
      </c>
      <c r="F235" t="str">
        <f>HYPERLINK("http://www.sec.gov/Archives/edgar/data/827871/0001104659-16-159788-index.html")</f>
        <v>http://www.sec.gov/Archives/edgar/data/827871/0001104659-16-159788-index.html</v>
      </c>
    </row>
    <row r="236" spans="1:6" x14ac:dyDescent="0.2">
      <c r="A236" t="s">
        <v>242</v>
      </c>
      <c r="B236" s="1">
        <v>101462</v>
      </c>
      <c r="C236" s="1">
        <v>2911</v>
      </c>
      <c r="D236" s="2">
        <v>42703</v>
      </c>
      <c r="E236" s="1" t="s">
        <v>18</v>
      </c>
      <c r="F236" t="str">
        <f>HYPERLINK("http://www.sec.gov/Archives/edgar/data/101462/0001193125-16-779734-index.html")</f>
        <v>http://www.sec.gov/Archives/edgar/data/101462/0001193125-16-779734-index.html</v>
      </c>
    </row>
    <row r="237" spans="1:6" x14ac:dyDescent="0.2">
      <c r="A237" t="s">
        <v>243</v>
      </c>
      <c r="B237" s="1">
        <v>1040270</v>
      </c>
      <c r="C237" s="1">
        <v>2911</v>
      </c>
      <c r="D237" s="2">
        <v>42703</v>
      </c>
      <c r="E237" s="1" t="s">
        <v>18</v>
      </c>
      <c r="F237" t="str">
        <f>HYPERLINK("http://www.sec.gov/Archives/edgar/data/1040270/0001193125-16-779734-index.html")</f>
        <v>http://www.sec.gov/Archives/edgar/data/1040270/0001193125-16-779734-index.html</v>
      </c>
    </row>
    <row r="238" spans="1:6" x14ac:dyDescent="0.2">
      <c r="A238" t="s">
        <v>244</v>
      </c>
      <c r="B238" s="1">
        <v>1045539</v>
      </c>
      <c r="C238" s="1">
        <v>2911</v>
      </c>
      <c r="D238" s="2">
        <v>42703</v>
      </c>
      <c r="E238" s="1" t="s">
        <v>18</v>
      </c>
      <c r="F238" t="str">
        <f>HYPERLINK("http://www.sec.gov/Archives/edgar/data/1045539/0001193125-16-779734-index.html")</f>
        <v>http://www.sec.gov/Archives/edgar/data/1045539/0001193125-16-779734-index.html</v>
      </c>
    </row>
    <row r="239" spans="1:6" x14ac:dyDescent="0.2">
      <c r="A239" t="s">
        <v>245</v>
      </c>
      <c r="B239" s="1">
        <v>1045540</v>
      </c>
      <c r="C239" s="1">
        <v>2911</v>
      </c>
      <c r="D239" s="2">
        <v>42703</v>
      </c>
      <c r="E239" s="1" t="s">
        <v>18</v>
      </c>
      <c r="F239" t="str">
        <f>HYPERLINK("http://www.sec.gov/Archives/edgar/data/1045540/0001193125-16-779734-index.html")</f>
        <v>http://www.sec.gov/Archives/edgar/data/1045540/0001193125-16-779734-index.html</v>
      </c>
    </row>
    <row r="240" spans="1:6" x14ac:dyDescent="0.2">
      <c r="A240" t="s">
        <v>246</v>
      </c>
      <c r="B240" s="1">
        <v>1045541</v>
      </c>
      <c r="C240" s="1">
        <v>2911</v>
      </c>
      <c r="D240" s="2">
        <v>42703</v>
      </c>
      <c r="E240" s="1" t="s">
        <v>18</v>
      </c>
      <c r="F240" t="str">
        <f>HYPERLINK("http://www.sec.gov/Archives/edgar/data/1045541/0001193125-16-779734-index.html")</f>
        <v>http://www.sec.gov/Archives/edgar/data/1045541/0001193125-16-779734-index.html</v>
      </c>
    </row>
    <row r="241" spans="1:6" x14ac:dyDescent="0.2">
      <c r="A241" t="s">
        <v>247</v>
      </c>
      <c r="B241" s="1">
        <v>1045542</v>
      </c>
      <c r="C241" s="1">
        <v>2911</v>
      </c>
      <c r="D241" s="2">
        <v>42703</v>
      </c>
      <c r="E241" s="1" t="s">
        <v>18</v>
      </c>
      <c r="F241" t="str">
        <f>HYPERLINK("http://www.sec.gov/Archives/edgar/data/1045542/0001193125-16-779734-index.html")</f>
        <v>http://www.sec.gov/Archives/edgar/data/1045542/0001193125-16-779734-index.html</v>
      </c>
    </row>
    <row r="242" spans="1:6" x14ac:dyDescent="0.2">
      <c r="A242" t="s">
        <v>248</v>
      </c>
      <c r="B242" s="1">
        <v>1045543</v>
      </c>
      <c r="C242" s="1">
        <v>2911</v>
      </c>
      <c r="D242" s="2">
        <v>42703</v>
      </c>
      <c r="E242" s="1" t="s">
        <v>18</v>
      </c>
      <c r="F242" t="str">
        <f>HYPERLINK("http://www.sec.gov/Archives/edgar/data/1045543/0001193125-16-779734-index.html")</f>
        <v>http://www.sec.gov/Archives/edgar/data/1045543/0001193125-16-779734-index.html</v>
      </c>
    </row>
    <row r="243" spans="1:6" x14ac:dyDescent="0.2">
      <c r="A243" t="s">
        <v>249</v>
      </c>
      <c r="B243" s="1">
        <v>1045544</v>
      </c>
      <c r="C243" s="1">
        <v>2911</v>
      </c>
      <c r="D243" s="2">
        <v>42703</v>
      </c>
      <c r="E243" s="1" t="s">
        <v>18</v>
      </c>
      <c r="F243" t="str">
        <f>HYPERLINK("http://www.sec.gov/Archives/edgar/data/1045544/0001193125-16-779734-index.html")</f>
        <v>http://www.sec.gov/Archives/edgar/data/1045544/0001193125-16-779734-index.html</v>
      </c>
    </row>
    <row r="244" spans="1:6" x14ac:dyDescent="0.2">
      <c r="A244" t="s">
        <v>250</v>
      </c>
      <c r="B244" s="1">
        <v>1045545</v>
      </c>
      <c r="C244" s="1">
        <v>2911</v>
      </c>
      <c r="D244" s="2">
        <v>42703</v>
      </c>
      <c r="E244" s="1" t="s">
        <v>18</v>
      </c>
      <c r="F244" t="str">
        <f>HYPERLINK("http://www.sec.gov/Archives/edgar/data/1045545/0001193125-16-779734-index.html")</f>
        <v>http://www.sec.gov/Archives/edgar/data/1045545/0001193125-16-779734-index.html</v>
      </c>
    </row>
    <row r="245" spans="1:6" x14ac:dyDescent="0.2">
      <c r="A245" t="s">
        <v>251</v>
      </c>
      <c r="B245" s="1">
        <v>1045546</v>
      </c>
      <c r="C245" s="1">
        <v>2911</v>
      </c>
      <c r="D245" s="2">
        <v>42703</v>
      </c>
      <c r="E245" s="1" t="s">
        <v>18</v>
      </c>
      <c r="F245" t="str">
        <f>HYPERLINK("http://www.sec.gov/Archives/edgar/data/1045546/0001193125-16-779734-index.html")</f>
        <v>http://www.sec.gov/Archives/edgar/data/1045546/0001193125-16-779734-index.html</v>
      </c>
    </row>
    <row r="246" spans="1:6" x14ac:dyDescent="0.2">
      <c r="A246" t="s">
        <v>252</v>
      </c>
      <c r="B246" s="1">
        <v>1045547</v>
      </c>
      <c r="C246" s="1">
        <v>2911</v>
      </c>
      <c r="D246" s="2">
        <v>42703</v>
      </c>
      <c r="E246" s="1" t="s">
        <v>18</v>
      </c>
      <c r="F246" t="str">
        <f>HYPERLINK("http://www.sec.gov/Archives/edgar/data/1045547/0001193125-16-779734-index.html")</f>
        <v>http://www.sec.gov/Archives/edgar/data/1045547/0001193125-16-779734-index.html</v>
      </c>
    </row>
    <row r="247" spans="1:6" x14ac:dyDescent="0.2">
      <c r="A247" t="s">
        <v>253</v>
      </c>
      <c r="B247" s="1">
        <v>1099369</v>
      </c>
      <c r="C247" s="1">
        <v>7372</v>
      </c>
      <c r="D247" s="2">
        <v>42703</v>
      </c>
      <c r="E247" s="1" t="s">
        <v>18</v>
      </c>
      <c r="F247" t="str">
        <f>HYPERLINK("http://www.sec.gov/Archives/edgar/data/1099369/0001062993-16-012523-index.html")</f>
        <v>http://www.sec.gov/Archives/edgar/data/1099369/0001062993-16-012523-index.html</v>
      </c>
    </row>
    <row r="248" spans="1:6" x14ac:dyDescent="0.2">
      <c r="A248" t="s">
        <v>254</v>
      </c>
      <c r="B248" s="1">
        <v>1101396</v>
      </c>
      <c r="C248" s="1">
        <v>5130</v>
      </c>
      <c r="D248" s="2">
        <v>42703</v>
      </c>
      <c r="E248" s="1" t="s">
        <v>18</v>
      </c>
      <c r="F248" t="str">
        <f>HYPERLINK("http://www.sec.gov/Archives/edgar/data/1101396/0001101396-16-000097-index.html")</f>
        <v>http://www.sec.gov/Archives/edgar/data/1101396/0001101396-16-000097-index.html</v>
      </c>
    </row>
    <row r="249" spans="1:6" x14ac:dyDescent="0.2">
      <c r="A249" t="s">
        <v>255</v>
      </c>
      <c r="B249" s="1">
        <v>1171162</v>
      </c>
      <c r="C249" s="1">
        <v>2911</v>
      </c>
      <c r="D249" s="2">
        <v>42703</v>
      </c>
      <c r="E249" s="1" t="s">
        <v>18</v>
      </c>
      <c r="F249" t="str">
        <f>HYPERLINK("http://www.sec.gov/Archives/edgar/data/1171162/0001193125-16-779734-index.html")</f>
        <v>http://www.sec.gov/Archives/edgar/data/1171162/0001193125-16-779734-index.html</v>
      </c>
    </row>
    <row r="250" spans="1:6" x14ac:dyDescent="0.2">
      <c r="A250" t="s">
        <v>256</v>
      </c>
      <c r="B250" s="1">
        <v>1346022</v>
      </c>
      <c r="C250" s="1">
        <v>1000</v>
      </c>
      <c r="D250" s="2">
        <v>42703</v>
      </c>
      <c r="E250" s="1" t="s">
        <v>18</v>
      </c>
      <c r="F250" t="str">
        <f>HYPERLINK("http://www.sec.gov/Archives/edgar/data/1346022/0001062993-16-012496-index.html")</f>
        <v>http://www.sec.gov/Archives/edgar/data/1346022/0001062993-16-012496-index.html</v>
      </c>
    </row>
    <row r="251" spans="1:6" x14ac:dyDescent="0.2">
      <c r="A251" t="s">
        <v>257</v>
      </c>
      <c r="B251" s="1">
        <v>1348362</v>
      </c>
      <c r="C251" s="1">
        <v>1000</v>
      </c>
      <c r="D251" s="2">
        <v>42703</v>
      </c>
      <c r="E251" s="1" t="s">
        <v>18</v>
      </c>
      <c r="F251" t="str">
        <f>HYPERLINK("http://www.sec.gov/Archives/edgar/data/1348362/0001062993-16-012493-index.html")</f>
        <v>http://www.sec.gov/Archives/edgar/data/1348362/0001062993-16-012493-index.html</v>
      </c>
    </row>
    <row r="252" spans="1:6" x14ac:dyDescent="0.2">
      <c r="A252" t="s">
        <v>258</v>
      </c>
      <c r="B252" s="1">
        <v>1414932</v>
      </c>
      <c r="C252" s="1">
        <v>2834</v>
      </c>
      <c r="D252" s="2">
        <v>42703</v>
      </c>
      <c r="E252" s="1" t="s">
        <v>18</v>
      </c>
      <c r="F252" t="str">
        <f>HYPERLINK("http://www.sec.gov/Archives/edgar/data/1414932/0001414932-16-000034-index.html")</f>
        <v>http://www.sec.gov/Archives/edgar/data/1414932/0001414932-16-000034-index.html</v>
      </c>
    </row>
    <row r="253" spans="1:6" x14ac:dyDescent="0.2">
      <c r="A253" t="s">
        <v>259</v>
      </c>
      <c r="B253" s="1">
        <v>1490906</v>
      </c>
      <c r="C253" s="1">
        <v>6035</v>
      </c>
      <c r="D253" s="2">
        <v>42703</v>
      </c>
      <c r="E253" s="1" t="s">
        <v>18</v>
      </c>
      <c r="F253" t="str">
        <f>HYPERLINK("http://www.sec.gov/Archives/edgar/data/1490906/0001490906-16-000135-index.html")</f>
        <v>http://www.sec.gov/Archives/edgar/data/1490906/0001490906-16-000135-index.html</v>
      </c>
    </row>
    <row r="254" spans="1:6" x14ac:dyDescent="0.2">
      <c r="A254" t="s">
        <v>260</v>
      </c>
      <c r="B254" s="1">
        <v>1531477</v>
      </c>
      <c r="C254" s="1">
        <v>5990</v>
      </c>
      <c r="D254" s="2">
        <v>42703</v>
      </c>
      <c r="E254" s="1" t="s">
        <v>18</v>
      </c>
      <c r="F254" t="str">
        <f>HYPERLINK("http://www.sec.gov/Archives/edgar/data/1531477/0001654954-16-004379-index.html")</f>
        <v>http://www.sec.gov/Archives/edgar/data/1531477/0001654954-16-004379-index.html</v>
      </c>
    </row>
    <row r="255" spans="1:6" x14ac:dyDescent="0.2">
      <c r="A255" t="s">
        <v>261</v>
      </c>
      <c r="B255" s="1">
        <v>1567892</v>
      </c>
      <c r="C255" s="1">
        <v>2834</v>
      </c>
      <c r="D255" s="2">
        <v>42703</v>
      </c>
      <c r="E255" s="1" t="s">
        <v>18</v>
      </c>
      <c r="F255" t="str">
        <f>HYPERLINK("http://www.sec.gov/Archives/edgar/data/1567892/0001567892-16-000098-index.html")</f>
        <v>http://www.sec.gov/Archives/edgar/data/1567892/0001567892-16-000098-index.html</v>
      </c>
    </row>
    <row r="256" spans="1:6" x14ac:dyDescent="0.2">
      <c r="A256" t="s">
        <v>262</v>
      </c>
      <c r="B256" s="1">
        <v>1613665</v>
      </c>
      <c r="C256" s="1">
        <v>6022</v>
      </c>
      <c r="D256" s="2">
        <v>42703</v>
      </c>
      <c r="E256" s="1" t="s">
        <v>18</v>
      </c>
      <c r="F256" t="str">
        <f>HYPERLINK("http://www.sec.gov/Archives/edgar/data/1613665/0001613665-16-000271-index.html")</f>
        <v>http://www.sec.gov/Archives/edgar/data/1613665/0001613665-16-000271-index.html</v>
      </c>
    </row>
    <row r="257" spans="1:6" x14ac:dyDescent="0.2">
      <c r="A257" t="s">
        <v>231</v>
      </c>
      <c r="B257" s="1">
        <v>1621221</v>
      </c>
      <c r="C257" s="1">
        <v>7389</v>
      </c>
      <c r="D257" s="2">
        <v>42703</v>
      </c>
      <c r="E257" s="1" t="s">
        <v>18</v>
      </c>
      <c r="F257" t="str">
        <f>HYPERLINK("http://www.sec.gov/Archives/edgar/data/1621221/0001640334-16-002136-index.html")</f>
        <v>http://www.sec.gov/Archives/edgar/data/1621221/0001640334-16-002136-index.html</v>
      </c>
    </row>
    <row r="258" spans="1:6" x14ac:dyDescent="0.2">
      <c r="A258" t="s">
        <v>263</v>
      </c>
      <c r="B258" s="1">
        <v>1622231</v>
      </c>
      <c r="C258" s="1">
        <v>5020</v>
      </c>
      <c r="D258" s="2">
        <v>42703</v>
      </c>
      <c r="E258" s="1" t="s">
        <v>18</v>
      </c>
      <c r="F258" t="str">
        <f>HYPERLINK("http://www.sec.gov/Archives/edgar/data/1622231/0001477932-16-013860-index.html")</f>
        <v>http://www.sec.gov/Archives/edgar/data/1622231/0001477932-16-013860-index.html</v>
      </c>
    </row>
    <row r="259" spans="1:6" x14ac:dyDescent="0.2">
      <c r="A259" t="s">
        <v>264</v>
      </c>
      <c r="B259" s="1">
        <v>1659207</v>
      </c>
      <c r="C259" s="1">
        <v>2750</v>
      </c>
      <c r="D259" s="2">
        <v>42703</v>
      </c>
      <c r="E259" s="1" t="s">
        <v>18</v>
      </c>
      <c r="F259" t="str">
        <f>HYPERLINK("http://www.sec.gov/Archives/edgar/data/1659207/0001493152-16-015509-index.html")</f>
        <v>http://www.sec.gov/Archives/edgar/data/1659207/0001493152-16-015509-index.html</v>
      </c>
    </row>
    <row r="260" spans="1:6" x14ac:dyDescent="0.2">
      <c r="A260" t="s">
        <v>265</v>
      </c>
      <c r="B260" s="1">
        <v>1666138</v>
      </c>
      <c r="C260" s="1">
        <v>3690</v>
      </c>
      <c r="D260" s="2">
        <v>42703</v>
      </c>
      <c r="E260" s="1" t="s">
        <v>18</v>
      </c>
      <c r="F260" t="str">
        <f>HYPERLINK("http://www.sec.gov/Archives/edgar/data/1666138/0001666138-16-000021-index.html")</f>
        <v>http://www.sec.gov/Archives/edgar/data/1666138/0001666138-16-000021-index.html</v>
      </c>
    </row>
    <row r="261" spans="1:6" x14ac:dyDescent="0.2">
      <c r="A261" t="s">
        <v>266</v>
      </c>
      <c r="B261" s="1">
        <v>1670541</v>
      </c>
      <c r="C261" s="1">
        <v>3714</v>
      </c>
      <c r="D261" s="2">
        <v>42703</v>
      </c>
      <c r="E261" s="1" t="s">
        <v>18</v>
      </c>
      <c r="F261" t="str">
        <f>HYPERLINK("http://www.sec.gov/Archives/edgar/data/1670541/0001670541-16-000016-index.html")</f>
        <v>http://www.sec.gov/Archives/edgar/data/1670541/0001670541-16-000016-index.html</v>
      </c>
    </row>
    <row r="262" spans="1:6" x14ac:dyDescent="0.2">
      <c r="A262" t="s">
        <v>267</v>
      </c>
      <c r="B262" s="1">
        <v>21510</v>
      </c>
      <c r="C262" s="1">
        <v>3826</v>
      </c>
      <c r="D262" s="2">
        <v>42703</v>
      </c>
      <c r="E262" s="1" t="s">
        <v>18</v>
      </c>
      <c r="F262" t="str">
        <f>HYPERLINK("http://www.sec.gov/Archives/edgar/data/21510/0000021510-16-000074-index.html")</f>
        <v>http://www.sec.gov/Archives/edgar/data/21510/0000021510-16-000074-index.html</v>
      </c>
    </row>
    <row r="263" spans="1:6" x14ac:dyDescent="0.2">
      <c r="A263" t="s">
        <v>268</v>
      </c>
      <c r="B263" s="1">
        <v>794172</v>
      </c>
      <c r="C263" s="1">
        <v>2835</v>
      </c>
      <c r="D263" s="2">
        <v>42703</v>
      </c>
      <c r="E263" s="1" t="s">
        <v>18</v>
      </c>
      <c r="F263" t="str">
        <f>HYPERLINK("http://www.sec.gov/Archives/edgar/data/794172/0001193125-16-779250-index.html")</f>
        <v>http://www.sec.gov/Archives/edgar/data/794172/0001193125-16-779250-index.html</v>
      </c>
    </row>
    <row r="264" spans="1:6" x14ac:dyDescent="0.2">
      <c r="A264" t="s">
        <v>269</v>
      </c>
      <c r="B264" s="1">
        <v>830253</v>
      </c>
      <c r="C264" s="1">
        <v>2911</v>
      </c>
      <c r="D264" s="2">
        <v>42703</v>
      </c>
      <c r="E264" s="1" t="s">
        <v>18</v>
      </c>
      <c r="F264" t="str">
        <f>HYPERLINK("http://www.sec.gov/Archives/edgar/data/830253/0001193125-16-779734-index.html")</f>
        <v>http://www.sec.gov/Archives/edgar/data/830253/0001193125-16-779734-index.html</v>
      </c>
    </row>
    <row r="265" spans="1:6" x14ac:dyDescent="0.2">
      <c r="A265" t="s">
        <v>270</v>
      </c>
      <c r="B265" s="1">
        <v>866706</v>
      </c>
      <c r="C265" s="1">
        <v>3669</v>
      </c>
      <c r="D265" s="2">
        <v>42703</v>
      </c>
      <c r="E265" s="1" t="s">
        <v>18</v>
      </c>
      <c r="F265" t="str">
        <f>HYPERLINK("http://www.sec.gov/Archives/edgar/data/866706/0001144204-16-136902-index.html")</f>
        <v>http://www.sec.gov/Archives/edgar/data/866706/0001144204-16-136902-index.html</v>
      </c>
    </row>
    <row r="266" spans="1:6" x14ac:dyDescent="0.2">
      <c r="A266" t="s">
        <v>271</v>
      </c>
      <c r="B266" s="1">
        <v>933974</v>
      </c>
      <c r="C266" s="1">
        <v>3559</v>
      </c>
      <c r="D266" s="2">
        <v>42703</v>
      </c>
      <c r="E266" s="1" t="s">
        <v>18</v>
      </c>
      <c r="F266" t="str">
        <f>HYPERLINK("http://www.sec.gov/Archives/edgar/data/933974/0000933974-16-000096-index.html")</f>
        <v>http://www.sec.gov/Archives/edgar/data/933974/0000933974-16-000096-index.html</v>
      </c>
    </row>
    <row r="267" spans="1:6" x14ac:dyDescent="0.2">
      <c r="A267" t="s">
        <v>272</v>
      </c>
      <c r="B267" s="1">
        <v>1066923</v>
      </c>
      <c r="C267" s="1">
        <v>2030</v>
      </c>
      <c r="D267" s="2">
        <v>42702</v>
      </c>
      <c r="E267" s="1" t="s">
        <v>18</v>
      </c>
      <c r="F267" t="str">
        <f>HYPERLINK("http://www.sec.gov/Archives/edgar/data/1066923/0001213900-16-018959-index.html")</f>
        <v>http://www.sec.gov/Archives/edgar/data/1066923/0001213900-16-018959-index.html</v>
      </c>
    </row>
    <row r="268" spans="1:6" x14ac:dyDescent="0.2">
      <c r="A268" t="s">
        <v>273</v>
      </c>
      <c r="B268" s="1">
        <v>1222333</v>
      </c>
      <c r="C268" s="1">
        <v>6221</v>
      </c>
      <c r="D268" s="2">
        <v>42702</v>
      </c>
      <c r="E268" s="1" t="s">
        <v>18</v>
      </c>
      <c r="F268" t="str">
        <f>HYPERLINK("http://www.sec.gov/Archives/edgar/data/1222333/0001193125-16-778088-index.html")</f>
        <v>http://www.sec.gov/Archives/edgar/data/1222333/0001193125-16-778088-index.html</v>
      </c>
    </row>
    <row r="269" spans="1:6" x14ac:dyDescent="0.2">
      <c r="A269" t="s">
        <v>140</v>
      </c>
      <c r="B269" s="1">
        <v>1378718</v>
      </c>
      <c r="C269" s="1">
        <v>5072</v>
      </c>
      <c r="D269" s="2">
        <v>42702</v>
      </c>
      <c r="E269" s="1" t="s">
        <v>18</v>
      </c>
      <c r="F269" t="str">
        <f>HYPERLINK("http://www.sec.gov/Archives/edgar/data/1378718/0001378718-16-000067-index.html")</f>
        <v>http://www.sec.gov/Archives/edgar/data/1378718/0001378718-16-000067-index.html</v>
      </c>
    </row>
    <row r="270" spans="1:6" x14ac:dyDescent="0.2">
      <c r="A270" t="s">
        <v>274</v>
      </c>
      <c r="B270" s="1">
        <v>1425203</v>
      </c>
      <c r="C270" s="1">
        <v>1700</v>
      </c>
      <c r="D270" s="2">
        <v>42702</v>
      </c>
      <c r="E270" s="1" t="s">
        <v>42</v>
      </c>
      <c r="F270" t="str">
        <f>HYPERLINK("http://www.sec.gov/Archives/edgar/data/1425203/0001014897-16-000673-index.html")</f>
        <v>http://www.sec.gov/Archives/edgar/data/1425203/0001014897-16-000673-index.html</v>
      </c>
    </row>
    <row r="271" spans="1:6" x14ac:dyDescent="0.2">
      <c r="A271" t="s">
        <v>275</v>
      </c>
      <c r="B271" s="1">
        <v>67625</v>
      </c>
      <c r="C271" s="1">
        <v>6798</v>
      </c>
      <c r="D271" s="2">
        <v>42702</v>
      </c>
      <c r="E271" s="1" t="s">
        <v>18</v>
      </c>
      <c r="F271" t="str">
        <f>HYPERLINK("http://www.sec.gov/Archives/edgar/data/67625/0001493152-16-015498-index.html")</f>
        <v>http://www.sec.gov/Archives/edgar/data/67625/0001493152-16-015498-index.html</v>
      </c>
    </row>
    <row r="272" spans="1:6" x14ac:dyDescent="0.2">
      <c r="A272" t="s">
        <v>276</v>
      </c>
      <c r="B272" s="1">
        <v>825542</v>
      </c>
      <c r="C272" s="1">
        <v>2870</v>
      </c>
      <c r="D272" s="2">
        <v>42702</v>
      </c>
      <c r="E272" s="1" t="s">
        <v>18</v>
      </c>
      <c r="F272" t="str">
        <f>HYPERLINK("http://www.sec.gov/Archives/edgar/data/825542/0001546380-16-000078-index.html")</f>
        <v>http://www.sec.gov/Archives/edgar/data/825542/0001546380-16-000078-index.html</v>
      </c>
    </row>
    <row r="273" spans="1:6" x14ac:dyDescent="0.2">
      <c r="A273" t="s">
        <v>274</v>
      </c>
      <c r="B273" s="1">
        <v>1425203</v>
      </c>
      <c r="C273" s="1">
        <v>1700</v>
      </c>
      <c r="D273" s="2">
        <v>42702</v>
      </c>
      <c r="E273" s="1" t="s">
        <v>42</v>
      </c>
      <c r="F273" t="str">
        <f>HYPERLINK("http://www.sec.gov/Archives/edgar/data/1425203/0001014897-16-000673-index.html")</f>
        <v>http://www.sec.gov/Archives/edgar/data/1425203/0001014897-16-000673-index.html</v>
      </c>
    </row>
    <row r="274" spans="1:6" x14ac:dyDescent="0.2">
      <c r="A274" t="s">
        <v>277</v>
      </c>
      <c r="B274" s="1">
        <v>1176309</v>
      </c>
      <c r="C274" s="1">
        <v>2834</v>
      </c>
      <c r="D274" s="2">
        <v>42699</v>
      </c>
      <c r="E274" s="1" t="s">
        <v>18</v>
      </c>
      <c r="F274" t="str">
        <f>HYPERLINK("http://www.sec.gov/Archives/edgar/data/1176309/0001213900-16-018954-index.html")</f>
        <v>http://www.sec.gov/Archives/edgar/data/1176309/0001213900-16-018954-index.html</v>
      </c>
    </row>
    <row r="275" spans="1:6" x14ac:dyDescent="0.2">
      <c r="A275" t="s">
        <v>278</v>
      </c>
      <c r="B275" s="1">
        <v>1499361</v>
      </c>
      <c r="C275" s="1">
        <v>5141</v>
      </c>
      <c r="D275" s="2">
        <v>42699</v>
      </c>
      <c r="E275" s="1" t="s">
        <v>18</v>
      </c>
      <c r="F275" t="str">
        <f>HYPERLINK("http://www.sec.gov/Archives/edgar/data/1499361/0001056520-16-000347-index.html")</f>
        <v>http://www.sec.gov/Archives/edgar/data/1499361/0001056520-16-000347-index.html</v>
      </c>
    </row>
    <row r="276" spans="1:6" x14ac:dyDescent="0.2">
      <c r="A276" t="s">
        <v>279</v>
      </c>
      <c r="B276" s="1">
        <v>1604906</v>
      </c>
      <c r="C276" s="1">
        <v>2111</v>
      </c>
      <c r="D276" s="2">
        <v>42699</v>
      </c>
      <c r="E276" s="1" t="s">
        <v>18</v>
      </c>
      <c r="F276" t="str">
        <f>HYPERLINK("http://www.sec.gov/Archives/edgar/data/1604906/0001609876-16-000078-index.html")</f>
        <v>http://www.sec.gov/Archives/edgar/data/1604906/0001609876-16-000078-index.html</v>
      </c>
    </row>
    <row r="277" spans="1:6" x14ac:dyDescent="0.2">
      <c r="A277" t="s">
        <v>280</v>
      </c>
      <c r="B277" s="1">
        <v>1636023</v>
      </c>
      <c r="C277" s="1">
        <v>2650</v>
      </c>
      <c r="D277" s="2">
        <v>42699</v>
      </c>
      <c r="E277" s="1" t="s">
        <v>18</v>
      </c>
      <c r="F277" t="str">
        <f>HYPERLINK("http://www.sec.gov/Archives/edgar/data/1636023/0001636023-16-000362-index.html")</f>
        <v>http://www.sec.gov/Archives/edgar/data/1636023/0001636023-16-000362-index.html</v>
      </c>
    </row>
    <row r="278" spans="1:6" x14ac:dyDescent="0.2">
      <c r="A278" t="s">
        <v>281</v>
      </c>
      <c r="B278" s="1">
        <v>1001039</v>
      </c>
      <c r="C278" s="1">
        <v>4841</v>
      </c>
      <c r="D278" s="2">
        <v>42697</v>
      </c>
      <c r="E278" s="1" t="s">
        <v>18</v>
      </c>
      <c r="F278" t="str">
        <f>HYPERLINK("http://www.sec.gov/Archives/edgar/data/1001039/0001001039-16-000516-index.html")</f>
        <v>http://www.sec.gov/Archives/edgar/data/1001039/0001001039-16-000516-index.html</v>
      </c>
    </row>
    <row r="279" spans="1:6" x14ac:dyDescent="0.2">
      <c r="A279" t="s">
        <v>282</v>
      </c>
      <c r="B279" s="1">
        <v>1005210</v>
      </c>
      <c r="C279" s="1">
        <v>5900</v>
      </c>
      <c r="D279" s="2">
        <v>42697</v>
      </c>
      <c r="E279" s="1" t="s">
        <v>18</v>
      </c>
      <c r="F279" t="str">
        <f>HYPERLINK("http://www.sec.gov/Archives/edgar/data/1005210/0001564590-16-029600-index.html")</f>
        <v>http://www.sec.gov/Archives/edgar/data/1005210/0001564590-16-029600-index.html</v>
      </c>
    </row>
    <row r="280" spans="1:6" x14ac:dyDescent="0.2">
      <c r="A280" t="s">
        <v>283</v>
      </c>
      <c r="B280" s="1">
        <v>10795</v>
      </c>
      <c r="C280" s="1">
        <v>3841</v>
      </c>
      <c r="D280" s="2">
        <v>42697</v>
      </c>
      <c r="E280" s="1" t="s">
        <v>18</v>
      </c>
      <c r="F280" t="str">
        <f>HYPERLINK("http://www.sec.gov/Archives/edgar/data/10795/0001628280-16-021658-index.html")</f>
        <v>http://www.sec.gov/Archives/edgar/data/10795/0001628280-16-021658-index.html</v>
      </c>
    </row>
    <row r="281" spans="1:6" x14ac:dyDescent="0.2">
      <c r="A281" t="s">
        <v>284</v>
      </c>
      <c r="B281" s="1">
        <v>109177</v>
      </c>
      <c r="C281" s="1">
        <v>3690</v>
      </c>
      <c r="D281" s="2">
        <v>42697</v>
      </c>
      <c r="E281" s="1" t="s">
        <v>18</v>
      </c>
      <c r="F281" t="str">
        <f>HYPERLINK("http://www.sec.gov/Archives/edgar/data/109177/0000109177-16-000186-index.html")</f>
        <v>http://www.sec.gov/Archives/edgar/data/109177/0000109177-16-000186-index.html</v>
      </c>
    </row>
    <row r="282" spans="1:6" x14ac:dyDescent="0.2">
      <c r="A282" t="s">
        <v>285</v>
      </c>
      <c r="B282" s="1">
        <v>1381668</v>
      </c>
      <c r="C282" s="1">
        <v>6035</v>
      </c>
      <c r="D282" s="2">
        <v>42697</v>
      </c>
      <c r="E282" s="1" t="s">
        <v>18</v>
      </c>
      <c r="F282" t="str">
        <f>HYPERLINK("http://www.sec.gov/Archives/edgar/data/1381668/0001381668-16-000264-index.html")</f>
        <v>http://www.sec.gov/Archives/edgar/data/1381668/0001381668-16-000264-index.html</v>
      </c>
    </row>
    <row r="283" spans="1:6" x14ac:dyDescent="0.2">
      <c r="A283" t="s">
        <v>286</v>
      </c>
      <c r="B283" s="1">
        <v>1584509</v>
      </c>
      <c r="C283" s="1">
        <v>5812</v>
      </c>
      <c r="D283" s="2">
        <v>42697</v>
      </c>
      <c r="E283" s="1" t="s">
        <v>18</v>
      </c>
      <c r="F283" t="str">
        <f>HYPERLINK("http://www.sec.gov/Archives/edgar/data/1584509/0001584509-16-000514-index.html")</f>
        <v>http://www.sec.gov/Archives/edgar/data/1584509/0001584509-16-000514-index.html</v>
      </c>
    </row>
    <row r="284" spans="1:6" x14ac:dyDescent="0.2">
      <c r="A284" t="s">
        <v>287</v>
      </c>
      <c r="B284" s="1">
        <v>1584693</v>
      </c>
      <c r="C284" s="1">
        <v>7900</v>
      </c>
      <c r="D284" s="2">
        <v>42697</v>
      </c>
      <c r="E284" s="1" t="s">
        <v>18</v>
      </c>
      <c r="F284" t="str">
        <f>HYPERLINK("http://www.sec.gov/Archives/edgar/data/1584693/0001393905-16-001111-index.html")</f>
        <v>http://www.sec.gov/Archives/edgar/data/1584693/0001393905-16-001111-index.html</v>
      </c>
    </row>
    <row r="285" spans="1:6" x14ac:dyDescent="0.2">
      <c r="A285" t="s">
        <v>288</v>
      </c>
      <c r="B285" s="1">
        <v>1591615</v>
      </c>
      <c r="C285" s="1">
        <v>3640</v>
      </c>
      <c r="D285" s="2">
        <v>42697</v>
      </c>
      <c r="E285" s="1" t="s">
        <v>18</v>
      </c>
      <c r="F285" t="str">
        <f>HYPERLINK("http://www.sec.gov/Archives/edgar/data/1591615/0001477932-16-013812-index.html")</f>
        <v>http://www.sec.gov/Archives/edgar/data/1591615/0001477932-16-013812-index.html</v>
      </c>
    </row>
    <row r="286" spans="1:6" x14ac:dyDescent="0.2">
      <c r="A286" t="s">
        <v>289</v>
      </c>
      <c r="B286" s="1">
        <v>16040</v>
      </c>
      <c r="C286" s="1">
        <v>2890</v>
      </c>
      <c r="D286" s="2">
        <v>42697</v>
      </c>
      <c r="E286" s="1" t="s">
        <v>18</v>
      </c>
      <c r="F286" t="str">
        <f>HYPERLINK("http://www.sec.gov/Archives/edgar/data/16040/0001564590-16-029604-index.html")</f>
        <v>http://www.sec.gov/Archives/edgar/data/16040/0001564590-16-029604-index.html</v>
      </c>
    </row>
    <row r="287" spans="1:6" x14ac:dyDescent="0.2">
      <c r="A287" t="s">
        <v>290</v>
      </c>
      <c r="B287" s="1">
        <v>16099</v>
      </c>
      <c r="C287" s="1">
        <v>5812</v>
      </c>
      <c r="D287" s="2">
        <v>42697</v>
      </c>
      <c r="E287" s="1" t="s">
        <v>18</v>
      </c>
      <c r="F287" t="str">
        <f>HYPERLINK("http://www.sec.gov/Archives/edgar/data/16099/0000016099-16-000059-index.html")</f>
        <v>http://www.sec.gov/Archives/edgar/data/16099/0000016099-16-000059-index.html</v>
      </c>
    </row>
    <row r="288" spans="1:6" x14ac:dyDescent="0.2">
      <c r="A288" t="s">
        <v>291</v>
      </c>
      <c r="B288" s="1">
        <v>1656053</v>
      </c>
      <c r="C288" s="1">
        <v>7372</v>
      </c>
      <c r="D288" s="2">
        <v>42697</v>
      </c>
      <c r="E288" s="1" t="s">
        <v>18</v>
      </c>
      <c r="F288" t="str">
        <f>HYPERLINK("http://www.sec.gov/Archives/edgar/data/1656053/0001144204-16-136247-index.html")</f>
        <v>http://www.sec.gov/Archives/edgar/data/1656053/0001144204-16-136247-index.html</v>
      </c>
    </row>
    <row r="289" spans="1:6" x14ac:dyDescent="0.2">
      <c r="A289" t="s">
        <v>292</v>
      </c>
      <c r="B289" s="1">
        <v>203527</v>
      </c>
      <c r="C289" s="1">
        <v>3845</v>
      </c>
      <c r="D289" s="2">
        <v>42697</v>
      </c>
      <c r="E289" s="1" t="s">
        <v>18</v>
      </c>
      <c r="F289" t="str">
        <f>HYPERLINK("http://www.sec.gov/Archives/edgar/data/203527/0001628280-16-021672-index.html")</f>
        <v>http://www.sec.gov/Archives/edgar/data/203527/0001628280-16-021672-index.html</v>
      </c>
    </row>
    <row r="290" spans="1:6" x14ac:dyDescent="0.2">
      <c r="A290" t="s">
        <v>293</v>
      </c>
      <c r="B290" s="1">
        <v>33619</v>
      </c>
      <c r="C290" s="1">
        <v>3823</v>
      </c>
      <c r="D290" s="2">
        <v>42697</v>
      </c>
      <c r="E290" s="1" t="s">
        <v>18</v>
      </c>
      <c r="F290" t="str">
        <f>HYPERLINK("http://www.sec.gov/Archives/edgar/data/33619/0001564590-16-029614-index.html")</f>
        <v>http://www.sec.gov/Archives/edgar/data/33619/0001564590-16-029614-index.html</v>
      </c>
    </row>
    <row r="291" spans="1:6" x14ac:dyDescent="0.2">
      <c r="A291" t="s">
        <v>294</v>
      </c>
      <c r="B291" s="1">
        <v>46765</v>
      </c>
      <c r="C291" s="1">
        <v>1381</v>
      </c>
      <c r="D291" s="2">
        <v>42697</v>
      </c>
      <c r="E291" s="1" t="s">
        <v>18</v>
      </c>
      <c r="F291" t="str">
        <f>HYPERLINK("http://www.sec.gov/Archives/edgar/data/46765/0001047469-16-016935-index.html")</f>
        <v>http://www.sec.gov/Archives/edgar/data/46765/0001047469-16-016935-index.html</v>
      </c>
    </row>
    <row r="292" spans="1:6" x14ac:dyDescent="0.2">
      <c r="A292" t="s">
        <v>295</v>
      </c>
      <c r="B292" s="1">
        <v>53669</v>
      </c>
      <c r="C292" s="1">
        <v>2531</v>
      </c>
      <c r="D292" s="2">
        <v>42697</v>
      </c>
      <c r="E292" s="1" t="s">
        <v>18</v>
      </c>
      <c r="F292" t="str">
        <f>HYPERLINK("http://www.sec.gov/Archives/edgar/data/53669/0000053669-16-000087-index.html")</f>
        <v>http://www.sec.gov/Archives/edgar/data/53669/0000053669-16-000087-index.html</v>
      </c>
    </row>
    <row r="293" spans="1:6" x14ac:dyDescent="0.2">
      <c r="A293" t="s">
        <v>296</v>
      </c>
      <c r="B293" s="1">
        <v>833444</v>
      </c>
      <c r="C293" s="1">
        <v>7380</v>
      </c>
      <c r="D293" s="2">
        <v>42697</v>
      </c>
      <c r="E293" s="1" t="s">
        <v>18</v>
      </c>
      <c r="F293" t="str">
        <f>HYPERLINK("http://www.sec.gov/Archives/edgar/data/833444/0000833444-16-000216-index.html")</f>
        <v>http://www.sec.gov/Archives/edgar/data/833444/0000833444-16-000216-index.html</v>
      </c>
    </row>
    <row r="294" spans="1:6" x14ac:dyDescent="0.2">
      <c r="A294" t="s">
        <v>297</v>
      </c>
      <c r="B294" s="1">
        <v>851968</v>
      </c>
      <c r="C294" s="1">
        <v>2273</v>
      </c>
      <c r="D294" s="2">
        <v>42697</v>
      </c>
      <c r="E294" s="1" t="s">
        <v>42</v>
      </c>
      <c r="F294" t="str">
        <f>HYPERLINK("http://www.sec.gov/Archives/edgar/data/851968/0000851968-16-000205-index.html")</f>
        <v>http://www.sec.gov/Archives/edgar/data/851968/0000851968-16-000205-index.html</v>
      </c>
    </row>
    <row r="295" spans="1:6" x14ac:dyDescent="0.2">
      <c r="A295" t="s">
        <v>298</v>
      </c>
      <c r="B295" s="1">
        <v>1002517</v>
      </c>
      <c r="C295" s="1">
        <v>7372</v>
      </c>
      <c r="D295" s="2">
        <v>42696</v>
      </c>
      <c r="E295" s="1" t="s">
        <v>18</v>
      </c>
      <c r="F295" t="str">
        <f>HYPERLINK("http://www.sec.gov/Archives/edgar/data/1002517/0001002517-16-000088-index.html")</f>
        <v>http://www.sec.gov/Archives/edgar/data/1002517/0001002517-16-000088-index.html</v>
      </c>
    </row>
    <row r="296" spans="1:6" x14ac:dyDescent="0.2">
      <c r="A296" t="s">
        <v>299</v>
      </c>
      <c r="B296" s="1">
        <v>100548</v>
      </c>
      <c r="C296" s="1">
        <v>4932</v>
      </c>
      <c r="D296" s="2">
        <v>42696</v>
      </c>
      <c r="E296" s="1" t="s">
        <v>18</v>
      </c>
      <c r="F296" t="str">
        <f>HYPERLINK("http://www.sec.gov/Archives/edgar/data/100548/0000100548-16-000045-index.html")</f>
        <v>http://www.sec.gov/Archives/edgar/data/100548/0000100548-16-000045-index.html</v>
      </c>
    </row>
    <row r="297" spans="1:6" x14ac:dyDescent="0.2">
      <c r="A297" t="s">
        <v>300</v>
      </c>
      <c r="B297" s="1">
        <v>104819</v>
      </c>
      <c r="C297" s="1">
        <v>4924</v>
      </c>
      <c r="D297" s="2">
        <v>42696</v>
      </c>
      <c r="E297" s="1" t="s">
        <v>18</v>
      </c>
      <c r="F297" t="str">
        <f>HYPERLINK("http://www.sec.gov/Archives/edgar/data/104819/0001103601-16-000060-index.html")</f>
        <v>http://www.sec.gov/Archives/edgar/data/104819/0001103601-16-000060-index.html</v>
      </c>
    </row>
    <row r="298" spans="1:6" x14ac:dyDescent="0.2">
      <c r="A298" t="s">
        <v>301</v>
      </c>
      <c r="B298" s="1">
        <v>1103601</v>
      </c>
      <c r="C298" s="1">
        <v>4924</v>
      </c>
      <c r="D298" s="2">
        <v>42696</v>
      </c>
      <c r="E298" s="1" t="s">
        <v>18</v>
      </c>
      <c r="F298" t="str">
        <f>HYPERLINK("http://www.sec.gov/Archives/edgar/data/1103601/0001103601-16-000060-index.html")</f>
        <v>http://www.sec.gov/Archives/edgar/data/1103601/0001103601-16-000060-index.html</v>
      </c>
    </row>
    <row r="299" spans="1:6" x14ac:dyDescent="0.2">
      <c r="A299" t="s">
        <v>302</v>
      </c>
      <c r="B299" s="1">
        <v>1124941</v>
      </c>
      <c r="C299" s="1">
        <v>5030</v>
      </c>
      <c r="D299" s="2">
        <v>42696</v>
      </c>
      <c r="E299" s="1" t="s">
        <v>18</v>
      </c>
      <c r="F299" t="str">
        <f>HYPERLINK("http://www.sec.gov/Archives/edgar/data/1124941/0001144204-16-135949-index.html")</f>
        <v>http://www.sec.gov/Archives/edgar/data/1124941/0001144204-16-135949-index.html</v>
      </c>
    </row>
    <row r="300" spans="1:6" x14ac:dyDescent="0.2">
      <c r="A300" t="s">
        <v>303</v>
      </c>
      <c r="B300" s="1">
        <v>1140859</v>
      </c>
      <c r="C300" s="1">
        <v>5122</v>
      </c>
      <c r="D300" s="2">
        <v>42696</v>
      </c>
      <c r="E300" s="1" t="s">
        <v>18</v>
      </c>
      <c r="F300" t="str">
        <f>HYPERLINK("http://www.sec.gov/Archives/edgar/data/1140859/0001140859-16-000022-index.html")</f>
        <v>http://www.sec.gov/Archives/edgar/data/1140859/0001140859-16-000022-index.html</v>
      </c>
    </row>
    <row r="301" spans="1:6" x14ac:dyDescent="0.2">
      <c r="A301" t="s">
        <v>304</v>
      </c>
      <c r="B301" s="1">
        <v>1350593</v>
      </c>
      <c r="C301" s="1">
        <v>3490</v>
      </c>
      <c r="D301" s="2">
        <v>42696</v>
      </c>
      <c r="E301" s="1" t="s">
        <v>18</v>
      </c>
      <c r="F301" t="str">
        <f>HYPERLINK("http://www.sec.gov/Archives/edgar/data/1350593/0001350593-16-000118-index.html")</f>
        <v>http://www.sec.gov/Archives/edgar/data/1350593/0001350593-16-000118-index.html</v>
      </c>
    </row>
    <row r="302" spans="1:6" x14ac:dyDescent="0.2">
      <c r="A302" t="s">
        <v>305</v>
      </c>
      <c r="B302" s="1">
        <v>1352081</v>
      </c>
      <c r="C302" s="1">
        <v>2860</v>
      </c>
      <c r="D302" s="2">
        <v>42696</v>
      </c>
      <c r="E302" s="1" t="s">
        <v>18</v>
      </c>
      <c r="F302" t="str">
        <f>HYPERLINK("http://www.sec.gov/Archives/edgar/data/1352081/0001352081-16-000065-index.html")</f>
        <v>http://www.sec.gov/Archives/edgar/data/1352081/0001352081-16-000065-index.html</v>
      </c>
    </row>
    <row r="303" spans="1:6" x14ac:dyDescent="0.2">
      <c r="A303" t="s">
        <v>306</v>
      </c>
      <c r="B303" s="1">
        <v>1416090</v>
      </c>
      <c r="C303" s="1">
        <v>1040</v>
      </c>
      <c r="D303" s="2">
        <v>42696</v>
      </c>
      <c r="E303" s="1" t="s">
        <v>42</v>
      </c>
      <c r="F303" t="str">
        <f>HYPERLINK("http://www.sec.gov/Archives/edgar/data/1416090/0001493152-16-015373-index.html")</f>
        <v>http://www.sec.gov/Archives/edgar/data/1416090/0001493152-16-015373-index.html</v>
      </c>
    </row>
    <row r="304" spans="1:6" x14ac:dyDescent="0.2">
      <c r="A304" t="s">
        <v>307</v>
      </c>
      <c r="B304" s="1">
        <v>1484769</v>
      </c>
      <c r="C304" s="1">
        <v>7812</v>
      </c>
      <c r="D304" s="2">
        <v>42696</v>
      </c>
      <c r="E304" s="1" t="s">
        <v>18</v>
      </c>
      <c r="F304" t="str">
        <f>HYPERLINK("http://www.sec.gov/Archives/edgar/data/1484769/0001493152-16-015404-index.html")</f>
        <v>http://www.sec.gov/Archives/edgar/data/1484769/0001493152-16-015404-index.html</v>
      </c>
    </row>
    <row r="305" spans="1:6" x14ac:dyDescent="0.2">
      <c r="A305" t="s">
        <v>308</v>
      </c>
      <c r="B305" s="1">
        <v>1504619</v>
      </c>
      <c r="C305" s="1">
        <v>3281</v>
      </c>
      <c r="D305" s="2">
        <v>42696</v>
      </c>
      <c r="E305" s="1" t="s">
        <v>18</v>
      </c>
      <c r="F305" t="str">
        <f>HYPERLINK("http://www.sec.gov/Archives/edgar/data/1504619/0001193125-16-775064-index.html")</f>
        <v>http://www.sec.gov/Archives/edgar/data/1504619/0001193125-16-775064-index.html</v>
      </c>
    </row>
    <row r="306" spans="1:6" x14ac:dyDescent="0.2">
      <c r="A306" t="s">
        <v>309</v>
      </c>
      <c r="B306" s="1">
        <v>1577134</v>
      </c>
      <c r="C306" s="1">
        <v>1531</v>
      </c>
      <c r="D306" s="2">
        <v>42696</v>
      </c>
      <c r="E306" s="1" t="s">
        <v>18</v>
      </c>
      <c r="F306" t="str">
        <f>HYPERLINK("http://www.sec.gov/Archives/edgar/data/1577134/0001577134-16-000012-index.html")</f>
        <v>http://www.sec.gov/Archives/edgar/data/1577134/0001577134-16-000012-index.html</v>
      </c>
    </row>
    <row r="307" spans="1:6" x14ac:dyDescent="0.2">
      <c r="A307" t="s">
        <v>310</v>
      </c>
      <c r="B307" s="1">
        <v>26076</v>
      </c>
      <c r="C307" s="1">
        <v>3829</v>
      </c>
      <c r="D307" s="2">
        <v>42696</v>
      </c>
      <c r="E307" s="1" t="s">
        <v>18</v>
      </c>
      <c r="F307" t="str">
        <f>HYPERLINK("http://www.sec.gov/Archives/edgar/data/26076/0001558370-16-010242-index.html")</f>
        <v>http://www.sec.gov/Archives/edgar/data/26076/0001558370-16-010242-index.html</v>
      </c>
    </row>
    <row r="308" spans="1:6" x14ac:dyDescent="0.2">
      <c r="A308" t="s">
        <v>311</v>
      </c>
      <c r="B308" s="1">
        <v>356309</v>
      </c>
      <c r="C308" s="1">
        <v>4924</v>
      </c>
      <c r="D308" s="2">
        <v>42696</v>
      </c>
      <c r="E308" s="1" t="s">
        <v>18</v>
      </c>
      <c r="F308" t="str">
        <f>HYPERLINK("http://www.sec.gov/Archives/edgar/data/356309/0000356309-16-000283-index.html")</f>
        <v>http://www.sec.gov/Archives/edgar/data/356309/0000356309-16-000283-index.html</v>
      </c>
    </row>
    <row r="309" spans="1:6" x14ac:dyDescent="0.2">
      <c r="A309" t="s">
        <v>312</v>
      </c>
      <c r="B309" s="1">
        <v>4127</v>
      </c>
      <c r="C309" s="1">
        <v>3674</v>
      </c>
      <c r="D309" s="2">
        <v>42696</v>
      </c>
      <c r="E309" s="1" t="s">
        <v>18</v>
      </c>
      <c r="F309" t="str">
        <f>HYPERLINK("http://www.sec.gov/Archives/edgar/data/4127/0000004127-16-000068-index.html")</f>
        <v>http://www.sec.gov/Archives/edgar/data/4127/0000004127-16-000068-index.html</v>
      </c>
    </row>
    <row r="310" spans="1:6" x14ac:dyDescent="0.2">
      <c r="A310" t="s">
        <v>313</v>
      </c>
      <c r="B310" s="1">
        <v>52988</v>
      </c>
      <c r="C310" s="1">
        <v>1600</v>
      </c>
      <c r="D310" s="2">
        <v>42696</v>
      </c>
      <c r="E310" s="1" t="s">
        <v>18</v>
      </c>
      <c r="F310" t="str">
        <f>HYPERLINK("http://www.sec.gov/Archives/edgar/data/52988/0001564590-16-029571-index.html")</f>
        <v>http://www.sec.gov/Archives/edgar/data/52988/0001564590-16-029571-index.html</v>
      </c>
    </row>
    <row r="311" spans="1:6" x14ac:dyDescent="0.2">
      <c r="A311" t="s">
        <v>314</v>
      </c>
      <c r="B311" s="1">
        <v>6281</v>
      </c>
      <c r="C311" s="1">
        <v>3674</v>
      </c>
      <c r="D311" s="2">
        <v>42696</v>
      </c>
      <c r="E311" s="1" t="s">
        <v>18</v>
      </c>
      <c r="F311" t="str">
        <f>HYPERLINK("http://www.sec.gov/Archives/edgar/data/6281/0000006281-16-000097-index.html")</f>
        <v>http://www.sec.gov/Archives/edgar/data/6281/0000006281-16-000097-index.html</v>
      </c>
    </row>
    <row r="312" spans="1:6" x14ac:dyDescent="0.2">
      <c r="A312" t="s">
        <v>315</v>
      </c>
      <c r="B312" s="1">
        <v>63296</v>
      </c>
      <c r="C312" s="1">
        <v>3360</v>
      </c>
      <c r="D312" s="2">
        <v>42696</v>
      </c>
      <c r="E312" s="1" t="s">
        <v>18</v>
      </c>
      <c r="F312" t="str">
        <f>HYPERLINK("http://www.sec.gov/Archives/edgar/data/63296/0000063296-16-000200-index.html")</f>
        <v>http://www.sec.gov/Archives/edgar/data/63296/0000063296-16-000200-index.html</v>
      </c>
    </row>
    <row r="313" spans="1:6" x14ac:dyDescent="0.2">
      <c r="A313" t="s">
        <v>316</v>
      </c>
      <c r="B313" s="1">
        <v>720005</v>
      </c>
      <c r="C313" s="1">
        <v>6211</v>
      </c>
      <c r="D313" s="2">
        <v>42696</v>
      </c>
      <c r="E313" s="1" t="s">
        <v>18</v>
      </c>
      <c r="F313" t="str">
        <f>HYPERLINK("http://www.sec.gov/Archives/edgar/data/720005/0000720005-16-000169-index.html")</f>
        <v>http://www.sec.gov/Archives/edgar/data/720005/0000720005-16-000169-index.html</v>
      </c>
    </row>
    <row r="314" spans="1:6" x14ac:dyDescent="0.2">
      <c r="A314" t="s">
        <v>317</v>
      </c>
      <c r="B314" s="1">
        <v>775158</v>
      </c>
      <c r="C314" s="1">
        <v>3711</v>
      </c>
      <c r="D314" s="2">
        <v>42696</v>
      </c>
      <c r="E314" s="1" t="s">
        <v>18</v>
      </c>
      <c r="F314" t="str">
        <f>HYPERLINK("http://www.sec.gov/Archives/edgar/data/775158/0000775158-16-000405-index.html")</f>
        <v>http://www.sec.gov/Archives/edgar/data/775158/0000775158-16-000405-index.html</v>
      </c>
    </row>
    <row r="315" spans="1:6" x14ac:dyDescent="0.2">
      <c r="A315" t="s">
        <v>318</v>
      </c>
      <c r="B315" s="1">
        <v>785956</v>
      </c>
      <c r="C315" s="1">
        <v>2052</v>
      </c>
      <c r="D315" s="2">
        <v>42696</v>
      </c>
      <c r="E315" s="1" t="s">
        <v>18</v>
      </c>
      <c r="F315" t="str">
        <f>HYPERLINK("http://www.sec.gov/Archives/edgar/data/785956/0001437749-16-042541-index.html")</f>
        <v>http://www.sec.gov/Archives/edgar/data/785956/0001437749-16-042541-index.html</v>
      </c>
    </row>
    <row r="316" spans="1:6" x14ac:dyDescent="0.2">
      <c r="A316" t="s">
        <v>319</v>
      </c>
      <c r="B316" s="1">
        <v>796505</v>
      </c>
      <c r="C316" s="1">
        <v>3661</v>
      </c>
      <c r="D316" s="2">
        <v>42696</v>
      </c>
      <c r="E316" s="1" t="s">
        <v>18</v>
      </c>
      <c r="F316" t="str">
        <f>HYPERLINK("http://www.sec.gov/Archives/edgar/data/796505/0001171843-16-013350-index.html")</f>
        <v>http://www.sec.gov/Archives/edgar/data/796505/0001171843-16-013350-index.html</v>
      </c>
    </row>
    <row r="317" spans="1:6" x14ac:dyDescent="0.2">
      <c r="A317" t="s">
        <v>320</v>
      </c>
      <c r="B317" s="1">
        <v>807882</v>
      </c>
      <c r="C317" s="1">
        <v>5812</v>
      </c>
      <c r="D317" s="2">
        <v>42696</v>
      </c>
      <c r="E317" s="1" t="s">
        <v>18</v>
      </c>
      <c r="F317" t="str">
        <f>HYPERLINK("http://www.sec.gov/Archives/edgar/data/807882/0000807882-16-000036-index.html")</f>
        <v>http://www.sec.gov/Archives/edgar/data/807882/0000807882-16-000036-index.html</v>
      </c>
    </row>
    <row r="318" spans="1:6" x14ac:dyDescent="0.2">
      <c r="A318" t="s">
        <v>321</v>
      </c>
      <c r="B318" s="1">
        <v>831641</v>
      </c>
      <c r="C318" s="1">
        <v>8711</v>
      </c>
      <c r="D318" s="2">
        <v>42696</v>
      </c>
      <c r="E318" s="1" t="s">
        <v>18</v>
      </c>
      <c r="F318" t="str">
        <f>HYPERLINK("http://www.sec.gov/Archives/edgar/data/831641/0001047469-16-016906-index.html")</f>
        <v>http://www.sec.gov/Archives/edgar/data/831641/0001047469-16-016906-index.html</v>
      </c>
    </row>
    <row r="319" spans="1:6" x14ac:dyDescent="0.2">
      <c r="A319" t="s">
        <v>322</v>
      </c>
      <c r="B319" s="1">
        <v>875582</v>
      </c>
      <c r="C319" s="1">
        <v>3470</v>
      </c>
      <c r="D319" s="2">
        <v>42696</v>
      </c>
      <c r="E319" s="1" t="s">
        <v>18</v>
      </c>
      <c r="F319" t="str">
        <f>HYPERLINK("http://www.sec.gov/Archives/edgar/data/875582/0001171843-16-013352-index.html")</f>
        <v>http://www.sec.gov/Archives/edgar/data/875582/0001171843-16-013352-index.html</v>
      </c>
    </row>
    <row r="320" spans="1:6" x14ac:dyDescent="0.2">
      <c r="A320" t="s">
        <v>323</v>
      </c>
      <c r="B320" s="1">
        <v>884614</v>
      </c>
      <c r="C320" s="1">
        <v>4932</v>
      </c>
      <c r="D320" s="2">
        <v>42696</v>
      </c>
      <c r="E320" s="1" t="s">
        <v>18</v>
      </c>
      <c r="F320" t="str">
        <f>HYPERLINK("http://www.sec.gov/Archives/edgar/data/884614/0000884614-16-000067-index.html")</f>
        <v>http://www.sec.gov/Archives/edgar/data/884614/0000884614-16-000067-index.html</v>
      </c>
    </row>
    <row r="321" spans="1:6" x14ac:dyDescent="0.2">
      <c r="A321" t="s">
        <v>324</v>
      </c>
      <c r="B321" s="1">
        <v>932628</v>
      </c>
      <c r="C321" s="1">
        <v>5990</v>
      </c>
      <c r="D321" s="2">
        <v>42696</v>
      </c>
      <c r="E321" s="1" t="s">
        <v>18</v>
      </c>
      <c r="F321" t="str">
        <f>HYPERLINK("http://www.sec.gov/Archives/edgar/data/932628/0000932628-16-000045-index.html")</f>
        <v>http://www.sec.gov/Archives/edgar/data/932628/0000932628-16-000045-index.html</v>
      </c>
    </row>
    <row r="322" spans="1:6" x14ac:dyDescent="0.2">
      <c r="A322" t="s">
        <v>325</v>
      </c>
      <c r="B322" s="1">
        <v>100493</v>
      </c>
      <c r="C322" s="1">
        <v>2015</v>
      </c>
      <c r="D322" s="2">
        <v>42695</v>
      </c>
      <c r="E322" s="1" t="s">
        <v>18</v>
      </c>
      <c r="F322" t="str">
        <f>HYPERLINK("http://www.sec.gov/Archives/edgar/data/100493/0000100493-16-000281-index.html")</f>
        <v>http://www.sec.gov/Archives/edgar/data/100493/0000100493-16-000281-index.html</v>
      </c>
    </row>
    <row r="323" spans="1:6" x14ac:dyDescent="0.2">
      <c r="A323" t="s">
        <v>326</v>
      </c>
      <c r="B323" s="1">
        <v>1032220</v>
      </c>
      <c r="C323" s="1">
        <v>7389</v>
      </c>
      <c r="D323" s="2">
        <v>42695</v>
      </c>
      <c r="E323" s="1" t="s">
        <v>18</v>
      </c>
      <c r="F323" t="str">
        <f>HYPERLINK("http://www.sec.gov/Archives/edgar/data/1032220/0001032220-16-000249-index.html")</f>
        <v>http://www.sec.gov/Archives/edgar/data/1032220/0001032220-16-000249-index.html</v>
      </c>
    </row>
    <row r="324" spans="1:6" x14ac:dyDescent="0.2">
      <c r="A324" t="s">
        <v>327</v>
      </c>
      <c r="B324" s="1">
        <v>1071840</v>
      </c>
      <c r="C324" s="1">
        <v>2860</v>
      </c>
      <c r="D324" s="2">
        <v>42695</v>
      </c>
      <c r="E324" s="1" t="s">
        <v>18</v>
      </c>
      <c r="F324" t="str">
        <f>HYPERLINK("http://www.sec.gov/Archives/edgar/data/1071840/0001477932-16-013701-index.html")</f>
        <v>http://www.sec.gov/Archives/edgar/data/1071840/0001477932-16-013701-index.html</v>
      </c>
    </row>
    <row r="325" spans="1:6" x14ac:dyDescent="0.2">
      <c r="A325" t="s">
        <v>328</v>
      </c>
      <c r="B325" s="1">
        <v>1143513</v>
      </c>
      <c r="C325" s="1">
        <v>4813</v>
      </c>
      <c r="D325" s="2">
        <v>42695</v>
      </c>
      <c r="E325" s="1" t="s">
        <v>18</v>
      </c>
      <c r="F325" t="str">
        <f>HYPERLINK("http://www.sec.gov/Archives/edgar/data/1143513/0001193125-16-773798-index.html")</f>
        <v>http://www.sec.gov/Archives/edgar/data/1143513/0001193125-16-773798-index.html</v>
      </c>
    </row>
    <row r="326" spans="1:6" x14ac:dyDescent="0.2">
      <c r="A326" t="s">
        <v>329</v>
      </c>
      <c r="B326" s="1">
        <v>1235468</v>
      </c>
      <c r="C326" s="1">
        <v>7389</v>
      </c>
      <c r="D326" s="2">
        <v>42695</v>
      </c>
      <c r="E326" s="1" t="s">
        <v>18</v>
      </c>
      <c r="F326" t="str">
        <f>HYPERLINK("http://www.sec.gov/Archives/edgar/data/1235468/0001047469-16-016885-index.html")</f>
        <v>http://www.sec.gov/Archives/edgar/data/1235468/0001047469-16-016885-index.html</v>
      </c>
    </row>
    <row r="327" spans="1:6" x14ac:dyDescent="0.2">
      <c r="A327" t="s">
        <v>330</v>
      </c>
      <c r="B327" s="1">
        <v>1333822</v>
      </c>
      <c r="C327" s="1">
        <v>3674</v>
      </c>
      <c r="D327" s="2">
        <v>42695</v>
      </c>
      <c r="E327" s="1" t="s">
        <v>18</v>
      </c>
      <c r="F327" t="str">
        <f>HYPERLINK("http://www.sec.gov/Archives/edgar/data/1333822/0001558370-16-010197-index.html")</f>
        <v>http://www.sec.gov/Archives/edgar/data/1333822/0001558370-16-010197-index.html</v>
      </c>
    </row>
    <row r="328" spans="1:6" x14ac:dyDescent="0.2">
      <c r="A328" t="s">
        <v>331</v>
      </c>
      <c r="B328" s="1">
        <v>1383414</v>
      </c>
      <c r="C328" s="1">
        <v>4400</v>
      </c>
      <c r="D328" s="2">
        <v>42695</v>
      </c>
      <c r="E328" s="1" t="s">
        <v>18</v>
      </c>
      <c r="F328" t="str">
        <f>HYPERLINK("http://www.sec.gov/Archives/edgar/data/1383414/0001193125-16-773701-index.html")</f>
        <v>http://www.sec.gov/Archives/edgar/data/1383414/0001193125-16-773701-index.html</v>
      </c>
    </row>
    <row r="329" spans="1:6" x14ac:dyDescent="0.2">
      <c r="A329" t="s">
        <v>332</v>
      </c>
      <c r="B329" s="1">
        <v>1446152</v>
      </c>
      <c r="C329" s="1">
        <v>1381</v>
      </c>
      <c r="D329" s="2">
        <v>42695</v>
      </c>
      <c r="E329" s="1" t="s">
        <v>18</v>
      </c>
      <c r="F329" t="str">
        <f>HYPERLINK("http://www.sec.gov/Archives/edgar/data/1446152/0001446152-16-000085-index.html")</f>
        <v>http://www.sec.gov/Archives/edgar/data/1446152/0001446152-16-000085-index.html</v>
      </c>
    </row>
    <row r="330" spans="1:6" x14ac:dyDescent="0.2">
      <c r="A330" t="s">
        <v>333</v>
      </c>
      <c r="B330" s="1">
        <v>1585064</v>
      </c>
      <c r="C330" s="1">
        <v>6311</v>
      </c>
      <c r="D330" s="2">
        <v>42695</v>
      </c>
      <c r="E330" s="1" t="s">
        <v>18</v>
      </c>
      <c r="F330" t="str">
        <f>HYPERLINK("http://www.sec.gov/Archives/edgar/data/1585064/0001585064-16-000116-index.html")</f>
        <v>http://www.sec.gov/Archives/edgar/data/1585064/0001585064-16-000116-index.html</v>
      </c>
    </row>
    <row r="331" spans="1:6" x14ac:dyDescent="0.2">
      <c r="A331" t="s">
        <v>334</v>
      </c>
      <c r="B331" s="1">
        <v>1674862</v>
      </c>
      <c r="C331" s="1">
        <v>5160</v>
      </c>
      <c r="D331" s="2">
        <v>42695</v>
      </c>
      <c r="E331" s="1" t="s">
        <v>18</v>
      </c>
      <c r="F331" t="str">
        <f>HYPERLINK("http://www.sec.gov/Archives/edgar/data/1674862/0001674862-16-000008-index.html")</f>
        <v>http://www.sec.gov/Archives/edgar/data/1674862/0001674862-16-000008-index.html</v>
      </c>
    </row>
    <row r="332" spans="1:6" x14ac:dyDescent="0.2">
      <c r="A332" t="s">
        <v>335</v>
      </c>
      <c r="B332" s="1">
        <v>2969</v>
      </c>
      <c r="C332" s="1">
        <v>2810</v>
      </c>
      <c r="D332" s="2">
        <v>42695</v>
      </c>
      <c r="E332" s="1" t="s">
        <v>18</v>
      </c>
      <c r="F332" t="str">
        <f>HYPERLINK("http://www.sec.gov/Archives/edgar/data/2969/0001193125-16-773346-index.html")</f>
        <v>http://www.sec.gov/Archives/edgar/data/2969/0001193125-16-773346-index.html</v>
      </c>
    </row>
    <row r="333" spans="1:6" x14ac:dyDescent="0.2">
      <c r="A333" t="s">
        <v>336</v>
      </c>
      <c r="B333" s="1">
        <v>936528</v>
      </c>
      <c r="C333" s="1">
        <v>6021</v>
      </c>
      <c r="D333" s="2">
        <v>42695</v>
      </c>
      <c r="E333" s="1" t="s">
        <v>18</v>
      </c>
      <c r="F333" t="str">
        <f>HYPERLINK("http://www.sec.gov/Archives/edgar/data/936528/0000936528-16-000090-index.html")</f>
        <v>http://www.sec.gov/Archives/edgar/data/936528/0000936528-16-000090-index.html</v>
      </c>
    </row>
    <row r="334" spans="1:6" x14ac:dyDescent="0.2">
      <c r="A334" t="s">
        <v>337</v>
      </c>
      <c r="B334" s="1">
        <v>1096752</v>
      </c>
      <c r="C334" s="1">
        <v>2844</v>
      </c>
      <c r="D334" s="2">
        <v>42692</v>
      </c>
      <c r="E334" s="1" t="s">
        <v>18</v>
      </c>
      <c r="F334" t="str">
        <f>HYPERLINK("http://www.sec.gov/Archives/edgar/data/1096752/0001096752-16-000118-index.html")</f>
        <v>http://www.sec.gov/Archives/edgar/data/1096752/0001096752-16-000118-index.html</v>
      </c>
    </row>
    <row r="335" spans="1:6" x14ac:dyDescent="0.2">
      <c r="A335" t="s">
        <v>338</v>
      </c>
      <c r="B335" s="1">
        <v>1099574</v>
      </c>
      <c r="C335" s="1">
        <v>6799</v>
      </c>
      <c r="D335" s="2">
        <v>42692</v>
      </c>
      <c r="E335" s="1" t="s">
        <v>18</v>
      </c>
      <c r="F335" t="str">
        <f>HYPERLINK("http://www.sec.gov/Archives/edgar/data/1099574/0001640334-16-002061-index.html")</f>
        <v>http://www.sec.gov/Archives/edgar/data/1099574/0001640334-16-002061-index.html</v>
      </c>
    </row>
    <row r="336" spans="1:6" x14ac:dyDescent="0.2">
      <c r="A336" t="s">
        <v>339</v>
      </c>
      <c r="B336" s="1">
        <v>1118417</v>
      </c>
      <c r="C336" s="1">
        <v>7370</v>
      </c>
      <c r="D336" s="2">
        <v>42692</v>
      </c>
      <c r="E336" s="1" t="s">
        <v>18</v>
      </c>
      <c r="F336" t="str">
        <f>HYPERLINK("http://www.sec.gov/Archives/edgar/data/1118417/0001564590-16-029481-index.html")</f>
        <v>http://www.sec.gov/Archives/edgar/data/1118417/0001564590-16-029481-index.html</v>
      </c>
    </row>
    <row r="337" spans="1:6" x14ac:dyDescent="0.2">
      <c r="A337" t="s">
        <v>340</v>
      </c>
      <c r="B337" s="1">
        <v>1173431</v>
      </c>
      <c r="C337" s="1">
        <v>6211</v>
      </c>
      <c r="D337" s="2">
        <v>42692</v>
      </c>
      <c r="E337" s="1" t="s">
        <v>18</v>
      </c>
      <c r="F337" t="str">
        <f>HYPERLINK("http://www.sec.gov/Archives/edgar/data/1173431/0001173431-16-000429-index.html")</f>
        <v>http://www.sec.gov/Archives/edgar/data/1173431/0001173431-16-000429-index.html</v>
      </c>
    </row>
    <row r="338" spans="1:6" x14ac:dyDescent="0.2">
      <c r="A338" t="s">
        <v>341</v>
      </c>
      <c r="B338" s="1">
        <v>1308547</v>
      </c>
      <c r="C338" s="1">
        <v>6794</v>
      </c>
      <c r="D338" s="2">
        <v>42692</v>
      </c>
      <c r="E338" s="1" t="s">
        <v>18</v>
      </c>
      <c r="F338" t="str">
        <f>HYPERLINK("http://www.sec.gov/Archives/edgar/data/1308547/0001628280-16-021559-index.html")</f>
        <v>http://www.sec.gov/Archives/edgar/data/1308547/0001628280-16-021559-index.html</v>
      </c>
    </row>
    <row r="339" spans="1:6" x14ac:dyDescent="0.2">
      <c r="A339" t="s">
        <v>342</v>
      </c>
      <c r="B339" s="1">
        <v>1409432</v>
      </c>
      <c r="C339" s="1">
        <v>1040</v>
      </c>
      <c r="D339" s="2">
        <v>42692</v>
      </c>
      <c r="E339" s="1" t="s">
        <v>18</v>
      </c>
      <c r="F339" t="str">
        <f>HYPERLINK("http://www.sec.gov/Archives/edgar/data/1409432/0001551163-16-000527-index.html")</f>
        <v>http://www.sec.gov/Archives/edgar/data/1409432/0001551163-16-000527-index.html</v>
      </c>
    </row>
    <row r="340" spans="1:6" x14ac:dyDescent="0.2">
      <c r="A340" t="s">
        <v>343</v>
      </c>
      <c r="B340" s="1">
        <v>1530950</v>
      </c>
      <c r="C340" s="1">
        <v>2040</v>
      </c>
      <c r="D340" s="2">
        <v>42692</v>
      </c>
      <c r="E340" s="1" t="s">
        <v>18</v>
      </c>
      <c r="F340" t="str">
        <f>HYPERLINK("http://www.sec.gov/Archives/edgar/data/1530950/0001530950-16-000508-index.html")</f>
        <v>http://www.sec.gov/Archives/edgar/data/1530950/0001530950-16-000508-index.html</v>
      </c>
    </row>
    <row r="341" spans="1:6" x14ac:dyDescent="0.2">
      <c r="A341" t="s">
        <v>344</v>
      </c>
      <c r="B341" s="1">
        <v>1598683</v>
      </c>
      <c r="C341" s="1">
        <v>1000</v>
      </c>
      <c r="D341" s="2">
        <v>42692</v>
      </c>
      <c r="E341" s="1" t="s">
        <v>18</v>
      </c>
      <c r="F341" t="str">
        <f>HYPERLINK("http://www.sec.gov/Archives/edgar/data/1598683/0001477932-16-013670-index.html")</f>
        <v>http://www.sec.gov/Archives/edgar/data/1598683/0001477932-16-013670-index.html</v>
      </c>
    </row>
    <row r="342" spans="1:6" x14ac:dyDescent="0.2">
      <c r="A342" t="s">
        <v>345</v>
      </c>
      <c r="B342" s="1">
        <v>1619055</v>
      </c>
      <c r="C342" s="1">
        <v>2030</v>
      </c>
      <c r="D342" s="2">
        <v>42692</v>
      </c>
      <c r="E342" s="1" t="s">
        <v>42</v>
      </c>
      <c r="F342" t="str">
        <f>HYPERLINK("http://www.sec.gov/Archives/edgar/data/1619055/0001477932-16-013676-index.html")</f>
        <v>http://www.sec.gov/Archives/edgar/data/1619055/0001477932-16-013676-index.html</v>
      </c>
    </row>
    <row r="343" spans="1:6" x14ac:dyDescent="0.2">
      <c r="A343" t="s">
        <v>346</v>
      </c>
      <c r="B343" s="1">
        <v>1624140</v>
      </c>
      <c r="C343" s="1">
        <v>3100</v>
      </c>
      <c r="D343" s="2">
        <v>42692</v>
      </c>
      <c r="E343" s="1" t="s">
        <v>18</v>
      </c>
      <c r="F343" t="str">
        <f>HYPERLINK("http://www.sec.gov/Archives/edgar/data/1624140/0001477932-16-013641-index.html")</f>
        <v>http://www.sec.gov/Archives/edgar/data/1624140/0001477932-16-013641-index.html</v>
      </c>
    </row>
    <row r="344" spans="1:6" x14ac:dyDescent="0.2">
      <c r="A344" t="s">
        <v>347</v>
      </c>
      <c r="B344" s="1">
        <v>1655349</v>
      </c>
      <c r="C344" s="1">
        <v>7372</v>
      </c>
      <c r="D344" s="2">
        <v>42692</v>
      </c>
      <c r="E344" s="1" t="s">
        <v>18</v>
      </c>
      <c r="F344" t="str">
        <f>HYPERLINK("http://www.sec.gov/Archives/edgar/data/1655349/0001477932-16-013648-index.html")</f>
        <v>http://www.sec.gov/Archives/edgar/data/1655349/0001477932-16-013648-index.html</v>
      </c>
    </row>
    <row r="345" spans="1:6" x14ac:dyDescent="0.2">
      <c r="A345" t="s">
        <v>348</v>
      </c>
      <c r="B345" s="1">
        <v>70145</v>
      </c>
      <c r="C345" s="1">
        <v>4924</v>
      </c>
      <c r="D345" s="2">
        <v>42692</v>
      </c>
      <c r="E345" s="1" t="s">
        <v>18</v>
      </c>
      <c r="F345" t="str">
        <f>HYPERLINK("http://www.sec.gov/Archives/edgar/data/70145/0000070145-16-000173-index.html")</f>
        <v>http://www.sec.gov/Archives/edgar/data/70145/0000070145-16-000173-index.html</v>
      </c>
    </row>
    <row r="346" spans="1:6" x14ac:dyDescent="0.2">
      <c r="A346" t="s">
        <v>349</v>
      </c>
      <c r="B346" s="1">
        <v>785786</v>
      </c>
      <c r="C346" s="1">
        <v>3672</v>
      </c>
      <c r="D346" s="2">
        <v>42692</v>
      </c>
      <c r="E346" s="1" t="s">
        <v>18</v>
      </c>
      <c r="F346" t="str">
        <f>HYPERLINK("http://www.sec.gov/Archives/edgar/data/785786/0000785786-16-000110-index.html")</f>
        <v>http://www.sec.gov/Archives/edgar/data/785786/0000785786-16-000110-index.html</v>
      </c>
    </row>
    <row r="347" spans="1:6" x14ac:dyDescent="0.2">
      <c r="A347" t="s">
        <v>350</v>
      </c>
      <c r="B347" s="1">
        <v>829224</v>
      </c>
      <c r="C347" s="1">
        <v>5810</v>
      </c>
      <c r="D347" s="2">
        <v>42692</v>
      </c>
      <c r="E347" s="1" t="s">
        <v>18</v>
      </c>
      <c r="F347" t="str">
        <f>HYPERLINK("http://www.sec.gov/Archives/edgar/data/829224/0000829224-16-000083-index.html")</f>
        <v>http://www.sec.gov/Archives/edgar/data/829224/0000829224-16-000083-index.html</v>
      </c>
    </row>
    <row r="348" spans="1:6" x14ac:dyDescent="0.2">
      <c r="A348" t="s">
        <v>351</v>
      </c>
      <c r="B348" s="1">
        <v>857005</v>
      </c>
      <c r="C348" s="1">
        <v>7372</v>
      </c>
      <c r="D348" s="2">
        <v>42692</v>
      </c>
      <c r="E348" s="1" t="s">
        <v>18</v>
      </c>
      <c r="F348" t="str">
        <f>HYPERLINK("http://www.sec.gov/Archives/edgar/data/857005/0000857005-16-000071-index.html")</f>
        <v>http://www.sec.gov/Archives/edgar/data/857005/0000857005-16-000071-index.html</v>
      </c>
    </row>
    <row r="349" spans="1:6" x14ac:dyDescent="0.2">
      <c r="A349" t="s">
        <v>352</v>
      </c>
      <c r="B349" s="1">
        <v>865436</v>
      </c>
      <c r="C349" s="1">
        <v>5411</v>
      </c>
      <c r="D349" s="2">
        <v>42692</v>
      </c>
      <c r="E349" s="1" t="s">
        <v>18</v>
      </c>
      <c r="F349" t="str">
        <f>HYPERLINK("http://www.sec.gov/Archives/edgar/data/865436/0000865436-16-000366-index.html")</f>
        <v>http://www.sec.gov/Archives/edgar/data/865436/0000865436-16-000366-index.html</v>
      </c>
    </row>
    <row r="350" spans="1:6" x14ac:dyDescent="0.2">
      <c r="A350" t="s">
        <v>353</v>
      </c>
      <c r="B350" s="1">
        <v>882184</v>
      </c>
      <c r="C350" s="1">
        <v>1531</v>
      </c>
      <c r="D350" s="2">
        <v>42692</v>
      </c>
      <c r="E350" s="1" t="s">
        <v>18</v>
      </c>
      <c r="F350" t="str">
        <f>HYPERLINK("http://www.sec.gov/Archives/edgar/data/882184/0000882184-16-000203-index.html")</f>
        <v>http://www.sec.gov/Archives/edgar/data/882184/0000882184-16-000203-index.html</v>
      </c>
    </row>
    <row r="351" spans="1:6" x14ac:dyDescent="0.2">
      <c r="A351" t="s">
        <v>354</v>
      </c>
      <c r="B351" s="1">
        <v>897723</v>
      </c>
      <c r="C351" s="1">
        <v>3672</v>
      </c>
      <c r="D351" s="2">
        <v>42692</v>
      </c>
      <c r="E351" s="1" t="s">
        <v>18</v>
      </c>
      <c r="F351" t="str">
        <f>HYPERLINK("http://www.sec.gov/Archives/edgar/data/897723/0000897723-16-000049-index.html")</f>
        <v>http://www.sec.gov/Archives/edgar/data/897723/0000897723-16-000049-index.html</v>
      </c>
    </row>
    <row r="352" spans="1:6" x14ac:dyDescent="0.2">
      <c r="A352" t="s">
        <v>355</v>
      </c>
      <c r="B352" s="1">
        <v>1001115</v>
      </c>
      <c r="C352" s="1">
        <v>3829</v>
      </c>
      <c r="D352" s="2">
        <v>42691</v>
      </c>
      <c r="E352" s="1" t="s">
        <v>18</v>
      </c>
      <c r="F352" t="str">
        <f>HYPERLINK("http://www.sec.gov/Archives/edgar/data/1001115/0001564590-16-029427-index.html")</f>
        <v>http://www.sec.gov/Archives/edgar/data/1001115/0001564590-16-029427-index.html</v>
      </c>
    </row>
    <row r="353" spans="1:6" x14ac:dyDescent="0.2">
      <c r="A353" t="s">
        <v>356</v>
      </c>
      <c r="B353" s="1">
        <v>1050007</v>
      </c>
      <c r="C353" s="1">
        <v>2833</v>
      </c>
      <c r="D353" s="2">
        <v>42691</v>
      </c>
      <c r="E353" s="1" t="s">
        <v>18</v>
      </c>
      <c r="F353" t="str">
        <f>HYPERLINK("http://www.sec.gov/Archives/edgar/data/1050007/0001050007-16-000015-index.html")</f>
        <v>http://www.sec.gov/Archives/edgar/data/1050007/0001050007-16-000015-index.html</v>
      </c>
    </row>
    <row r="354" spans="1:6" x14ac:dyDescent="0.2">
      <c r="A354" t="s">
        <v>357</v>
      </c>
      <c r="B354" s="1">
        <v>1487730</v>
      </c>
      <c r="C354" s="1">
        <v>3690</v>
      </c>
      <c r="D354" s="2">
        <v>42691</v>
      </c>
      <c r="E354" s="1" t="s">
        <v>18</v>
      </c>
      <c r="F354" t="str">
        <f>HYPERLINK("http://www.sec.gov/Archives/edgar/data/1487730/0001487730-16-000073-index.html")</f>
        <v>http://www.sec.gov/Archives/edgar/data/1487730/0001487730-16-000073-index.html</v>
      </c>
    </row>
    <row r="355" spans="1:6" x14ac:dyDescent="0.2">
      <c r="A355" t="s">
        <v>81</v>
      </c>
      <c r="B355" s="1">
        <v>1493594</v>
      </c>
      <c r="C355" s="1">
        <v>3674</v>
      </c>
      <c r="D355" s="2">
        <v>42691</v>
      </c>
      <c r="E355" s="1" t="s">
        <v>18</v>
      </c>
      <c r="F355" t="str">
        <f>HYPERLINK("http://www.sec.gov/Archives/edgar/data/1493594/0001493594-16-000016-index.html")</f>
        <v>http://www.sec.gov/Archives/edgar/data/1493594/0001493594-16-000016-index.html</v>
      </c>
    </row>
    <row r="356" spans="1:6" x14ac:dyDescent="0.2">
      <c r="A356" t="s">
        <v>358</v>
      </c>
      <c r="B356" s="1">
        <v>1592706</v>
      </c>
      <c r="C356" s="1">
        <v>3690</v>
      </c>
      <c r="D356" s="2">
        <v>42691</v>
      </c>
      <c r="E356" s="1" t="s">
        <v>18</v>
      </c>
      <c r="F356" t="str">
        <f>HYPERLINK("http://www.sec.gov/Archives/edgar/data/1592706/0001487730-16-000073-index.html")</f>
        <v>http://www.sec.gov/Archives/edgar/data/1592706/0001487730-16-000073-index.html</v>
      </c>
    </row>
    <row r="357" spans="1:6" x14ac:dyDescent="0.2">
      <c r="A357" t="s">
        <v>359</v>
      </c>
      <c r="B357" s="1">
        <v>1636051</v>
      </c>
      <c r="C357" s="1">
        <v>7389</v>
      </c>
      <c r="D357" s="2">
        <v>42691</v>
      </c>
      <c r="E357" s="1" t="s">
        <v>18</v>
      </c>
      <c r="F357" t="str">
        <f>HYPERLINK("http://www.sec.gov/Archives/edgar/data/1636051/0001636051-16-000021-index.html")</f>
        <v>http://www.sec.gov/Archives/edgar/data/1636051/0001636051-16-000021-index.html</v>
      </c>
    </row>
    <row r="358" spans="1:6" x14ac:dyDescent="0.2">
      <c r="A358" t="s">
        <v>360</v>
      </c>
      <c r="B358" s="1">
        <v>47518</v>
      </c>
      <c r="C358" s="1">
        <v>3841</v>
      </c>
      <c r="D358" s="2">
        <v>42691</v>
      </c>
      <c r="E358" s="1" t="s">
        <v>18</v>
      </c>
      <c r="F358" t="str">
        <f>HYPERLINK("http://www.sec.gov/Archives/edgar/data/47518/0001214659-16-014806-index.html")</f>
        <v>http://www.sec.gov/Archives/edgar/data/47518/0001214659-16-014806-index.html</v>
      </c>
    </row>
    <row r="359" spans="1:6" x14ac:dyDescent="0.2">
      <c r="A359" t="s">
        <v>361</v>
      </c>
      <c r="B359" s="1">
        <v>50725</v>
      </c>
      <c r="C359" s="1">
        <v>3442</v>
      </c>
      <c r="D359" s="2">
        <v>42691</v>
      </c>
      <c r="E359" s="1" t="s">
        <v>18</v>
      </c>
      <c r="F359" t="str">
        <f>HYPERLINK("http://www.sec.gov/Archives/edgar/data/50725/0000050725-16-000166-index.html")</f>
        <v>http://www.sec.gov/Archives/edgar/data/50725/0000050725-16-000166-index.html</v>
      </c>
    </row>
    <row r="360" spans="1:6" x14ac:dyDescent="0.2">
      <c r="A360" t="s">
        <v>362</v>
      </c>
      <c r="B360" s="1">
        <v>56978</v>
      </c>
      <c r="C360" s="1">
        <v>3674</v>
      </c>
      <c r="D360" s="2">
        <v>42691</v>
      </c>
      <c r="E360" s="1" t="s">
        <v>18</v>
      </c>
      <c r="F360" t="str">
        <f>HYPERLINK("http://www.sec.gov/Archives/edgar/data/56978/0000056978-16-000239-index.html")</f>
        <v>http://www.sec.gov/Archives/edgar/data/56978/0000056978-16-000239-index.html</v>
      </c>
    </row>
    <row r="361" spans="1:6" x14ac:dyDescent="0.2">
      <c r="A361" t="s">
        <v>363</v>
      </c>
      <c r="B361" s="1">
        <v>858655</v>
      </c>
      <c r="C361" s="1">
        <v>3310</v>
      </c>
      <c r="D361" s="2">
        <v>42691</v>
      </c>
      <c r="E361" s="1" t="s">
        <v>18</v>
      </c>
      <c r="F361" t="str">
        <f>HYPERLINK("http://www.sec.gov/Archives/edgar/data/858655/0001558370-16-010155-index.html")</f>
        <v>http://www.sec.gov/Archives/edgar/data/858655/0001558370-16-010155-index.html</v>
      </c>
    </row>
    <row r="362" spans="1:6" x14ac:dyDescent="0.2">
      <c r="A362" t="s">
        <v>364</v>
      </c>
      <c r="B362" s="1">
        <v>859737</v>
      </c>
      <c r="C362" s="1">
        <v>3844</v>
      </c>
      <c r="D362" s="2">
        <v>42691</v>
      </c>
      <c r="E362" s="1" t="s">
        <v>18</v>
      </c>
      <c r="F362" t="str">
        <f>HYPERLINK("http://www.sec.gov/Archives/edgar/data/859737/0000859737-16-000071-index.html")</f>
        <v>http://www.sec.gov/Archives/edgar/data/859737/0000859737-16-000071-index.html</v>
      </c>
    </row>
    <row r="363" spans="1:6" x14ac:dyDescent="0.2">
      <c r="A363" t="s">
        <v>365</v>
      </c>
      <c r="B363" s="1">
        <v>1016546</v>
      </c>
      <c r="C363" s="1">
        <v>2890</v>
      </c>
      <c r="D363" s="2">
        <v>42690</v>
      </c>
      <c r="E363" s="1" t="s">
        <v>18</v>
      </c>
      <c r="F363" t="str">
        <f>HYPERLINK("http://www.sec.gov/Archives/edgar/data/1016546/0001437749-16-042208-index.html")</f>
        <v>http://www.sec.gov/Archives/edgar/data/1016546/0001437749-16-042208-index.html</v>
      </c>
    </row>
    <row r="364" spans="1:6" x14ac:dyDescent="0.2">
      <c r="A364" t="s">
        <v>366</v>
      </c>
      <c r="B364" s="1">
        <v>108312</v>
      </c>
      <c r="C364" s="1">
        <v>3620</v>
      </c>
      <c r="D364" s="2">
        <v>42690</v>
      </c>
      <c r="E364" s="1" t="s">
        <v>18</v>
      </c>
      <c r="F364" t="str">
        <f>HYPERLINK("http://www.sec.gov/Archives/edgar/data/108312/0000108312-16-000038-index.html")</f>
        <v>http://www.sec.gov/Archives/edgar/data/108312/0000108312-16-000038-index.html</v>
      </c>
    </row>
    <row r="365" spans="1:6" x14ac:dyDescent="0.2">
      <c r="A365" t="s">
        <v>367</v>
      </c>
      <c r="B365" s="1">
        <v>1102934</v>
      </c>
      <c r="C365" s="1">
        <v>3674</v>
      </c>
      <c r="D365" s="2">
        <v>42690</v>
      </c>
      <c r="E365" s="1" t="s">
        <v>18</v>
      </c>
      <c r="F365" t="str">
        <f>HYPERLINK("http://www.sec.gov/Archives/edgar/data/1102934/0001102934-16-000064-index.html")</f>
        <v>http://www.sec.gov/Archives/edgar/data/1102934/0001102934-16-000064-index.html</v>
      </c>
    </row>
    <row r="366" spans="1:6" x14ac:dyDescent="0.2">
      <c r="A366" t="s">
        <v>368</v>
      </c>
      <c r="B366" s="1">
        <v>1386936</v>
      </c>
      <c r="C366" s="1">
        <v>1000</v>
      </c>
      <c r="D366" s="2">
        <v>42690</v>
      </c>
      <c r="E366" s="1" t="s">
        <v>42</v>
      </c>
      <c r="F366" t="str">
        <f>HYPERLINK("http://www.sec.gov/Archives/edgar/data/1386936/0001477932-16-013593-index.html")</f>
        <v>http://www.sec.gov/Archives/edgar/data/1386936/0001477932-16-013593-index.html</v>
      </c>
    </row>
    <row r="367" spans="1:6" x14ac:dyDescent="0.2">
      <c r="A367" t="s">
        <v>369</v>
      </c>
      <c r="B367" s="1">
        <v>1417398</v>
      </c>
      <c r="C367" s="1">
        <v>3990</v>
      </c>
      <c r="D367" s="2">
        <v>42690</v>
      </c>
      <c r="E367" s="1" t="s">
        <v>18</v>
      </c>
      <c r="F367" t="str">
        <f>HYPERLINK("http://www.sec.gov/Archives/edgar/data/1417398/0001417398-16-000085-index.html")</f>
        <v>http://www.sec.gov/Archives/edgar/data/1417398/0001417398-16-000085-index.html</v>
      </c>
    </row>
    <row r="368" spans="1:6" x14ac:dyDescent="0.2">
      <c r="A368" t="s">
        <v>370</v>
      </c>
      <c r="B368" s="1">
        <v>1476765</v>
      </c>
      <c r="C368" s="1">
        <v>6021</v>
      </c>
      <c r="D368" s="2">
        <v>42690</v>
      </c>
      <c r="E368" s="1" t="s">
        <v>18</v>
      </c>
      <c r="F368" t="str">
        <f>HYPERLINK("http://www.sec.gov/Archives/edgar/data/1476765/0001628280-16-021522-index.html")</f>
        <v>http://www.sec.gov/Archives/edgar/data/1476765/0001628280-16-021522-index.html</v>
      </c>
    </row>
    <row r="369" spans="1:6" x14ac:dyDescent="0.2">
      <c r="A369" t="s">
        <v>371</v>
      </c>
      <c r="B369" s="1">
        <v>1582586</v>
      </c>
      <c r="C369" s="1">
        <v>6770</v>
      </c>
      <c r="D369" s="2">
        <v>42690</v>
      </c>
      <c r="E369" s="1" t="s">
        <v>18</v>
      </c>
      <c r="F369" t="str">
        <f>HYPERLINK("http://www.sec.gov/Archives/edgar/data/1582586/0001582586-16-000085-index.html")</f>
        <v>http://www.sec.gov/Archives/edgar/data/1582586/0001582586-16-000085-index.html</v>
      </c>
    </row>
    <row r="370" spans="1:6" x14ac:dyDescent="0.2">
      <c r="A370" t="s">
        <v>372</v>
      </c>
      <c r="B370" s="1">
        <v>310568</v>
      </c>
      <c r="C370" s="1">
        <v>3674</v>
      </c>
      <c r="D370" s="2">
        <v>42690</v>
      </c>
      <c r="E370" s="1" t="s">
        <v>18</v>
      </c>
      <c r="F370" t="str">
        <f>HYPERLINK("http://www.sec.gov/Archives/edgar/data/310568/0000310568-16-000477-index.html")</f>
        <v>http://www.sec.gov/Archives/edgar/data/310568/0000310568-16-000477-index.html</v>
      </c>
    </row>
    <row r="371" spans="1:6" x14ac:dyDescent="0.2">
      <c r="A371" t="s">
        <v>373</v>
      </c>
      <c r="B371" s="1">
        <v>32604</v>
      </c>
      <c r="C371" s="1">
        <v>3600</v>
      </c>
      <c r="D371" s="2">
        <v>42690</v>
      </c>
      <c r="E371" s="1" t="s">
        <v>18</v>
      </c>
      <c r="F371" t="str">
        <f>HYPERLINK("http://www.sec.gov/Archives/edgar/data/32604/0000032604-16-000105-index.html")</f>
        <v>http://www.sec.gov/Archives/edgar/data/32604/0000032604-16-000105-index.html</v>
      </c>
    </row>
    <row r="372" spans="1:6" x14ac:dyDescent="0.2">
      <c r="A372" t="s">
        <v>374</v>
      </c>
      <c r="B372" s="1">
        <v>868857</v>
      </c>
      <c r="C372" s="1">
        <v>8711</v>
      </c>
      <c r="D372" s="2">
        <v>42690</v>
      </c>
      <c r="E372" s="1" t="s">
        <v>18</v>
      </c>
      <c r="F372" t="str">
        <f>HYPERLINK("http://www.sec.gov/Archives/edgar/data/868857/0001047469-16-016739-index.html")</f>
        <v>http://www.sec.gov/Archives/edgar/data/868857/0001047469-16-016739-index.html</v>
      </c>
    </row>
    <row r="373" spans="1:6" x14ac:dyDescent="0.2">
      <c r="A373" t="s">
        <v>375</v>
      </c>
      <c r="B373" s="1">
        <v>1003344</v>
      </c>
      <c r="C373" s="1">
        <v>3272</v>
      </c>
      <c r="D373" s="2">
        <v>42689</v>
      </c>
      <c r="E373" s="1" t="s">
        <v>18</v>
      </c>
      <c r="F373" t="str">
        <f>HYPERLINK("http://www.sec.gov/Archives/edgar/data/1003344/0001558370-16-010096-index.html")</f>
        <v>http://www.sec.gov/Archives/edgar/data/1003344/0001558370-16-010096-index.html</v>
      </c>
    </row>
    <row r="374" spans="1:6" x14ac:dyDescent="0.2">
      <c r="A374" t="s">
        <v>376</v>
      </c>
      <c r="B374" s="1">
        <v>1024478</v>
      </c>
      <c r="C374" s="1">
        <v>3829</v>
      </c>
      <c r="D374" s="2">
        <v>42689</v>
      </c>
      <c r="E374" s="1" t="s">
        <v>18</v>
      </c>
      <c r="F374" t="str">
        <f>HYPERLINK("http://www.sec.gov/Archives/edgar/data/1024478/0001024478-16-000071-index.html")</f>
        <v>http://www.sec.gov/Archives/edgar/data/1024478/0001024478-16-000071-index.html</v>
      </c>
    </row>
    <row r="375" spans="1:6" x14ac:dyDescent="0.2">
      <c r="A375" t="s">
        <v>377</v>
      </c>
      <c r="B375" s="1">
        <v>1126956</v>
      </c>
      <c r="C375" s="1">
        <v>4924</v>
      </c>
      <c r="D375" s="2">
        <v>42689</v>
      </c>
      <c r="E375" s="1" t="s">
        <v>18</v>
      </c>
      <c r="F375" t="str">
        <f>HYPERLINK("http://www.sec.gov/Archives/edgar/data/1126956/0001126956-16-000144-index.html")</f>
        <v>http://www.sec.gov/Archives/edgar/data/1126956/0001126956-16-000144-index.html</v>
      </c>
    </row>
    <row r="376" spans="1:6" x14ac:dyDescent="0.2">
      <c r="A376" t="s">
        <v>378</v>
      </c>
      <c r="B376" s="1">
        <v>1137411</v>
      </c>
      <c r="C376" s="1">
        <v>3728</v>
      </c>
      <c r="D376" s="2">
        <v>42689</v>
      </c>
      <c r="E376" s="1" t="s">
        <v>18</v>
      </c>
      <c r="F376" t="str">
        <f>HYPERLINK("http://www.sec.gov/Archives/edgar/data/1137411/0001137411-16-000223-index.html")</f>
        <v>http://www.sec.gov/Archives/edgar/data/1137411/0001137411-16-000223-index.html</v>
      </c>
    </row>
    <row r="377" spans="1:6" x14ac:dyDescent="0.2">
      <c r="A377" t="s">
        <v>379</v>
      </c>
      <c r="B377" s="1">
        <v>1309056</v>
      </c>
      <c r="C377" s="1">
        <v>7389</v>
      </c>
      <c r="D377" s="2">
        <v>42689</v>
      </c>
      <c r="E377" s="1" t="s">
        <v>18</v>
      </c>
      <c r="F377" t="str">
        <f>HYPERLINK("http://www.sec.gov/Archives/edgar/data/1309056/0001615774-16-008318-index.html")</f>
        <v>http://www.sec.gov/Archives/edgar/data/1309056/0001615774-16-008318-index.html</v>
      </c>
    </row>
    <row r="378" spans="1:6" x14ac:dyDescent="0.2">
      <c r="A378" t="s">
        <v>380</v>
      </c>
      <c r="B378" s="1">
        <v>1368458</v>
      </c>
      <c r="C378" s="1">
        <v>5990</v>
      </c>
      <c r="D378" s="2">
        <v>42689</v>
      </c>
      <c r="E378" s="1" t="s">
        <v>18</v>
      </c>
      <c r="F378" t="str">
        <f>HYPERLINK("http://www.sec.gov/Archives/edgar/data/1368458/0001047469-16-016713-index.html")</f>
        <v>http://www.sec.gov/Archives/edgar/data/1368458/0001047469-16-016713-index.html</v>
      </c>
    </row>
    <row r="379" spans="1:6" x14ac:dyDescent="0.2">
      <c r="A379" t="s">
        <v>381</v>
      </c>
      <c r="B379" s="1">
        <v>1375618</v>
      </c>
      <c r="C379" s="1">
        <v>1311</v>
      </c>
      <c r="D379" s="2">
        <v>42689</v>
      </c>
      <c r="E379" s="1" t="s">
        <v>42</v>
      </c>
      <c r="F379" t="str">
        <f>HYPERLINK("http://www.sec.gov/Archives/edgar/data/1375618/0001002014-16-000781-index.html")</f>
        <v>http://www.sec.gov/Archives/edgar/data/1375618/0001002014-16-000781-index.html</v>
      </c>
    </row>
    <row r="380" spans="1:6" x14ac:dyDescent="0.2">
      <c r="A380" t="s">
        <v>382</v>
      </c>
      <c r="B380" s="1">
        <v>1376986</v>
      </c>
      <c r="C380" s="1">
        <v>4911</v>
      </c>
      <c r="D380" s="2">
        <v>42689</v>
      </c>
      <c r="E380" s="1" t="s">
        <v>18</v>
      </c>
      <c r="F380" t="str">
        <f>HYPERLINK("http://www.sec.gov/Archives/edgar/data/1376986/0001376986-16-000080-index.html")</f>
        <v>http://www.sec.gov/Archives/edgar/data/1376986/0001376986-16-000080-index.html</v>
      </c>
    </row>
    <row r="381" spans="1:6" x14ac:dyDescent="0.2">
      <c r="A381" t="s">
        <v>383</v>
      </c>
      <c r="B381" s="1">
        <v>1385157</v>
      </c>
      <c r="C381" s="1">
        <v>5065</v>
      </c>
      <c r="D381" s="2">
        <v>42689</v>
      </c>
      <c r="E381" s="1" t="s">
        <v>18</v>
      </c>
      <c r="F381" t="str">
        <f>HYPERLINK("http://www.sec.gov/Archives/edgar/data/1385157/0001047469-16-016719-index.html")</f>
        <v>http://www.sec.gov/Archives/edgar/data/1385157/0001047469-16-016719-index.html</v>
      </c>
    </row>
    <row r="382" spans="1:6" x14ac:dyDescent="0.2">
      <c r="A382" t="s">
        <v>368</v>
      </c>
      <c r="B382" s="1">
        <v>1386936</v>
      </c>
      <c r="C382" s="1">
        <v>1000</v>
      </c>
      <c r="D382" s="2">
        <v>42689</v>
      </c>
      <c r="E382" s="1" t="s">
        <v>18</v>
      </c>
      <c r="F382" t="str">
        <f>HYPERLINK("http://www.sec.gov/Archives/edgar/data/1386936/0001477932-16-013584-index.html")</f>
        <v>http://www.sec.gov/Archives/edgar/data/1386936/0001477932-16-013584-index.html</v>
      </c>
    </row>
    <row r="383" spans="1:6" x14ac:dyDescent="0.2">
      <c r="A383" t="s">
        <v>384</v>
      </c>
      <c r="B383" s="1">
        <v>1403161</v>
      </c>
      <c r="C383" s="1">
        <v>7389</v>
      </c>
      <c r="D383" s="2">
        <v>42689</v>
      </c>
      <c r="E383" s="1" t="s">
        <v>18</v>
      </c>
      <c r="F383" t="str">
        <f>HYPERLINK("http://www.sec.gov/Archives/edgar/data/1403161/0001403161-16-000058-index.html")</f>
        <v>http://www.sec.gov/Archives/edgar/data/1403161/0001403161-16-000058-index.html</v>
      </c>
    </row>
    <row r="384" spans="1:6" x14ac:dyDescent="0.2">
      <c r="A384" t="s">
        <v>385</v>
      </c>
      <c r="B384" s="1">
        <v>1437925</v>
      </c>
      <c r="C384" s="1">
        <v>1000</v>
      </c>
      <c r="D384" s="2">
        <v>42689</v>
      </c>
      <c r="E384" s="1" t="s">
        <v>18</v>
      </c>
      <c r="F384" t="str">
        <f>HYPERLINK("http://www.sec.gov/Archives/edgar/data/1437925/0001477932-16-013565-index.html")</f>
        <v>http://www.sec.gov/Archives/edgar/data/1437925/0001477932-16-013565-index.html</v>
      </c>
    </row>
    <row r="385" spans="1:6" x14ac:dyDescent="0.2">
      <c r="A385" t="s">
        <v>386</v>
      </c>
      <c r="B385" s="1">
        <v>1571759</v>
      </c>
      <c r="C385" s="1">
        <v>3841</v>
      </c>
      <c r="D385" s="2">
        <v>42689</v>
      </c>
      <c r="E385" s="1" t="s">
        <v>18</v>
      </c>
      <c r="F385" t="str">
        <f>HYPERLINK("http://www.sec.gov/Archives/edgar/data/1571759/0001213900-16-018617-index.html")</f>
        <v>http://www.sec.gov/Archives/edgar/data/1571759/0001213900-16-018617-index.html</v>
      </c>
    </row>
    <row r="386" spans="1:6" x14ac:dyDescent="0.2">
      <c r="A386" t="s">
        <v>387</v>
      </c>
      <c r="B386" s="1">
        <v>1632790</v>
      </c>
      <c r="C386" s="1">
        <v>3690</v>
      </c>
      <c r="D386" s="2">
        <v>42689</v>
      </c>
      <c r="E386" s="1" t="s">
        <v>18</v>
      </c>
      <c r="F386" t="str">
        <f>HYPERLINK("http://www.sec.gov/Archives/edgar/data/1632790/0001632790-16-000150-index.html")</f>
        <v>http://www.sec.gov/Archives/edgar/data/1632790/0001632790-16-000150-index.html</v>
      </c>
    </row>
    <row r="387" spans="1:6" x14ac:dyDescent="0.2">
      <c r="A387" t="s">
        <v>388</v>
      </c>
      <c r="B387" s="1">
        <v>3146</v>
      </c>
      <c r="C387" s="1">
        <v>4924</v>
      </c>
      <c r="D387" s="2">
        <v>42689</v>
      </c>
      <c r="E387" s="1" t="s">
        <v>18</v>
      </c>
      <c r="F387" t="str">
        <f>HYPERLINK("http://www.sec.gov/Archives/edgar/data/3146/0001126956-16-000144-index.html")</f>
        <v>http://www.sec.gov/Archives/edgar/data/3146/0001126956-16-000144-index.html</v>
      </c>
    </row>
    <row r="388" spans="1:6" x14ac:dyDescent="0.2">
      <c r="A388" t="s">
        <v>389</v>
      </c>
      <c r="B388" s="1">
        <v>57183</v>
      </c>
      <c r="C388" s="1">
        <v>4924</v>
      </c>
      <c r="D388" s="2">
        <v>42689</v>
      </c>
      <c r="E388" s="1" t="s">
        <v>18</v>
      </c>
      <c r="F388" t="str">
        <f>HYPERLINK("http://www.sec.gov/Archives/edgar/data/57183/0001126956-16-000144-index.html")</f>
        <v>http://www.sec.gov/Archives/edgar/data/57183/0001126956-16-000144-index.html</v>
      </c>
    </row>
    <row r="389" spans="1:6" x14ac:dyDescent="0.2">
      <c r="A389" t="s">
        <v>390</v>
      </c>
      <c r="B389" s="1">
        <v>67887</v>
      </c>
      <c r="C389" s="1">
        <v>3590</v>
      </c>
      <c r="D389" s="2">
        <v>42689</v>
      </c>
      <c r="E389" s="1" t="s">
        <v>18</v>
      </c>
      <c r="F389" t="str">
        <f>HYPERLINK("http://www.sec.gov/Archives/edgar/data/67887/0000067887-16-000213-index.html")</f>
        <v>http://www.sec.gov/Archives/edgar/data/67887/0000067887-16-000213-index.html</v>
      </c>
    </row>
    <row r="390" spans="1:6" x14ac:dyDescent="0.2">
      <c r="A390" t="s">
        <v>391</v>
      </c>
      <c r="B390" s="1">
        <v>809933</v>
      </c>
      <c r="C390" s="1">
        <v>8711</v>
      </c>
      <c r="D390" s="2">
        <v>42689</v>
      </c>
      <c r="E390" s="1" t="s">
        <v>18</v>
      </c>
      <c r="F390" t="str">
        <f>HYPERLINK("http://www.sec.gov/Archives/edgar/data/809933/0001140361-16-086821-index.html")</f>
        <v>http://www.sec.gov/Archives/edgar/data/809933/0001140361-16-086821-index.html</v>
      </c>
    </row>
    <row r="391" spans="1:6" x14ac:dyDescent="0.2">
      <c r="A391" t="s">
        <v>392</v>
      </c>
      <c r="B391" s="1">
        <v>8411</v>
      </c>
      <c r="C391" s="1">
        <v>1381</v>
      </c>
      <c r="D391" s="2">
        <v>42689</v>
      </c>
      <c r="E391" s="1" t="s">
        <v>18</v>
      </c>
      <c r="F391" t="str">
        <f>HYPERLINK("http://www.sec.gov/Archives/edgar/data/8411/0000008411-16-000237-index.html")</f>
        <v>http://www.sec.gov/Archives/edgar/data/8411/0000008411-16-000237-index.html</v>
      </c>
    </row>
    <row r="392" spans="1:6" x14ac:dyDescent="0.2">
      <c r="A392" t="s">
        <v>393</v>
      </c>
      <c r="B392" s="1">
        <v>886163</v>
      </c>
      <c r="C392" s="1">
        <v>2834</v>
      </c>
      <c r="D392" s="2">
        <v>42689</v>
      </c>
      <c r="E392" s="1" t="s">
        <v>42</v>
      </c>
      <c r="F392" t="str">
        <f>HYPERLINK("http://www.sec.gov/Archives/edgar/data/886163/0000886163-16-000239-index.html")</f>
        <v>http://www.sec.gov/Archives/edgar/data/886163/0000886163-16-000239-index.html</v>
      </c>
    </row>
    <row r="393" spans="1:6" x14ac:dyDescent="0.2">
      <c r="A393" t="s">
        <v>394</v>
      </c>
      <c r="B393" s="1">
        <v>915840</v>
      </c>
      <c r="C393" s="1">
        <v>1531</v>
      </c>
      <c r="D393" s="2">
        <v>42689</v>
      </c>
      <c r="E393" s="1" t="s">
        <v>18</v>
      </c>
      <c r="F393" t="str">
        <f>HYPERLINK("http://www.sec.gov/Archives/edgar/data/915840/0000915840-16-000135-index.html")</f>
        <v>http://www.sec.gov/Archives/edgar/data/915840/0000915840-16-000135-index.html</v>
      </c>
    </row>
    <row r="394" spans="1:6" x14ac:dyDescent="0.2">
      <c r="A394" t="s">
        <v>395</v>
      </c>
      <c r="B394" s="1">
        <v>919175</v>
      </c>
      <c r="C394" s="1">
        <v>5110</v>
      </c>
      <c r="D394" s="2">
        <v>42689</v>
      </c>
      <c r="E394" s="1" t="s">
        <v>42</v>
      </c>
      <c r="F394" t="str">
        <f>HYPERLINK("http://www.sec.gov/Archives/edgar/data/919175/0001520138-16-001254-index.html")</f>
        <v>http://www.sec.gov/Archives/edgar/data/919175/0001520138-16-001254-index.html</v>
      </c>
    </row>
    <row r="395" spans="1:6" x14ac:dyDescent="0.2">
      <c r="A395" t="s">
        <v>396</v>
      </c>
      <c r="B395" s="1">
        <v>1023459</v>
      </c>
      <c r="C395" s="1">
        <v>7373</v>
      </c>
      <c r="D395" s="2">
        <v>42688</v>
      </c>
      <c r="E395" s="1" t="s">
        <v>18</v>
      </c>
      <c r="F395" t="str">
        <f>HYPERLINK("http://www.sec.gov/Archives/edgar/data/1023459/0001683168-16-000633-index.html")</f>
        <v>http://www.sec.gov/Archives/edgar/data/1023459/0001683168-16-000633-index.html</v>
      </c>
    </row>
    <row r="396" spans="1:6" x14ac:dyDescent="0.2">
      <c r="A396" t="s">
        <v>381</v>
      </c>
      <c r="B396" s="1">
        <v>1375618</v>
      </c>
      <c r="C396" s="1">
        <v>1311</v>
      </c>
      <c r="D396" s="2">
        <v>42688</v>
      </c>
      <c r="E396" s="1" t="s">
        <v>18</v>
      </c>
      <c r="F396" t="str">
        <f>HYPERLINK("http://www.sec.gov/Archives/edgar/data/1375618/0001002014-16-000779-index.html")</f>
        <v>http://www.sec.gov/Archives/edgar/data/1375618/0001002014-16-000779-index.html</v>
      </c>
    </row>
    <row r="397" spans="1:6" x14ac:dyDescent="0.2">
      <c r="A397" t="s">
        <v>397</v>
      </c>
      <c r="B397" s="1">
        <v>1492151</v>
      </c>
      <c r="C397" s="1">
        <v>7372</v>
      </c>
      <c r="D397" s="2">
        <v>42688</v>
      </c>
      <c r="E397" s="1" t="s">
        <v>18</v>
      </c>
      <c r="F397" t="str">
        <f>HYPERLINK("http://www.sec.gov/Archives/edgar/data/1492151/0001594062-16-000651-index.html")</f>
        <v>http://www.sec.gov/Archives/edgar/data/1492151/0001594062-16-000651-index.html</v>
      </c>
    </row>
    <row r="398" spans="1:6" x14ac:dyDescent="0.2">
      <c r="A398" t="s">
        <v>398</v>
      </c>
      <c r="B398" s="1">
        <v>1534155</v>
      </c>
      <c r="C398" s="1">
        <v>1600</v>
      </c>
      <c r="D398" s="2">
        <v>42688</v>
      </c>
      <c r="E398" s="1" t="s">
        <v>18</v>
      </c>
      <c r="F398" t="str">
        <f>HYPERLINK("http://www.sec.gov/Archives/edgar/data/1534155/0001534155-16-000089-index.html")</f>
        <v>http://www.sec.gov/Archives/edgar/data/1534155/0001534155-16-000089-index.html</v>
      </c>
    </row>
    <row r="399" spans="1:6" x14ac:dyDescent="0.2">
      <c r="A399" t="s">
        <v>399</v>
      </c>
      <c r="B399" s="1">
        <v>1556179</v>
      </c>
      <c r="C399" s="1">
        <v>7380</v>
      </c>
      <c r="D399" s="2">
        <v>42688</v>
      </c>
      <c r="E399" s="1" t="s">
        <v>400</v>
      </c>
      <c r="F399" t="str">
        <f>HYPERLINK("http://www.sec.gov/Archives/edgar/data/1556179/0001144204-16-134271-index.html")</f>
        <v>http://www.sec.gov/Archives/edgar/data/1556179/0001144204-16-134271-index.html</v>
      </c>
    </row>
    <row r="400" spans="1:6" x14ac:dyDescent="0.2">
      <c r="A400" t="s">
        <v>401</v>
      </c>
      <c r="B400" s="1">
        <v>1585738</v>
      </c>
      <c r="C400" s="1">
        <v>4833</v>
      </c>
      <c r="D400" s="2">
        <v>42688</v>
      </c>
      <c r="E400" s="1" t="s">
        <v>18</v>
      </c>
      <c r="F400" t="str">
        <f>HYPERLINK("http://www.sec.gov/Archives/edgar/data/1585738/0001477932-16-013476-index.html")</f>
        <v>http://www.sec.gov/Archives/edgar/data/1585738/0001477932-16-013476-index.html</v>
      </c>
    </row>
    <row r="401" spans="1:6" x14ac:dyDescent="0.2">
      <c r="A401" t="s">
        <v>402</v>
      </c>
      <c r="B401" s="1">
        <v>1620749</v>
      </c>
      <c r="C401" s="1">
        <v>8742</v>
      </c>
      <c r="D401" s="2">
        <v>42688</v>
      </c>
      <c r="E401" s="1" t="s">
        <v>18</v>
      </c>
      <c r="F401" t="str">
        <f>HYPERLINK("http://www.sec.gov/Archives/edgar/data/1620749/0001640334-16-001963-index.html")</f>
        <v>http://www.sec.gov/Archives/edgar/data/1620749/0001640334-16-001963-index.html</v>
      </c>
    </row>
    <row r="402" spans="1:6" x14ac:dyDescent="0.2">
      <c r="A402" t="s">
        <v>403</v>
      </c>
      <c r="B402" s="1">
        <v>38777</v>
      </c>
      <c r="C402" s="1">
        <v>6282</v>
      </c>
      <c r="D402" s="2">
        <v>42688</v>
      </c>
      <c r="E402" s="1" t="s">
        <v>18</v>
      </c>
      <c r="F402" t="str">
        <f>HYPERLINK("http://www.sec.gov/Archives/edgar/data/38777/0000038777-16-000609-index.html")</f>
        <v>http://www.sec.gov/Archives/edgar/data/38777/0000038777-16-000609-index.html</v>
      </c>
    </row>
    <row r="403" spans="1:6" x14ac:dyDescent="0.2">
      <c r="A403" t="s">
        <v>404</v>
      </c>
      <c r="B403" s="1">
        <v>731802</v>
      </c>
      <c r="C403" s="1">
        <v>4924</v>
      </c>
      <c r="D403" s="2">
        <v>42688</v>
      </c>
      <c r="E403" s="1" t="s">
        <v>18</v>
      </c>
      <c r="F403" t="str">
        <f>HYPERLINK("http://www.sec.gov/Archives/edgar/data/731802/0000731802-16-000066-index.html")</f>
        <v>http://www.sec.gov/Archives/edgar/data/731802/0000731802-16-000066-index.html</v>
      </c>
    </row>
    <row r="404" spans="1:6" x14ac:dyDescent="0.2">
      <c r="A404" t="s">
        <v>405</v>
      </c>
      <c r="B404" s="1">
        <v>821995</v>
      </c>
      <c r="C404" s="1">
        <v>2834</v>
      </c>
      <c r="D404" s="2">
        <v>42688</v>
      </c>
      <c r="E404" s="1" t="s">
        <v>42</v>
      </c>
      <c r="F404" t="str">
        <f>HYPERLINK("http://www.sec.gov/Archives/edgar/data/821995/0001193125-16-767847-index.html")</f>
        <v>http://www.sec.gov/Archives/edgar/data/821995/0001193125-16-767847-index.html</v>
      </c>
    </row>
    <row r="405" spans="1:6" x14ac:dyDescent="0.2">
      <c r="A405" t="s">
        <v>406</v>
      </c>
      <c r="B405" s="1">
        <v>830524</v>
      </c>
      <c r="C405" s="1">
        <v>3640</v>
      </c>
      <c r="D405" s="2">
        <v>42688</v>
      </c>
      <c r="E405" s="1" t="s">
        <v>18</v>
      </c>
      <c r="F405" t="str">
        <f>HYPERLINK("http://www.sec.gov/Archives/edgar/data/830524/0001558370-16-010069-index.html")</f>
        <v>http://www.sec.gov/Archives/edgar/data/830524/0001558370-16-010069-index.html</v>
      </c>
    </row>
    <row r="406" spans="1:6" x14ac:dyDescent="0.2">
      <c r="A406" t="s">
        <v>407</v>
      </c>
      <c r="B406" s="1">
        <v>877212</v>
      </c>
      <c r="C406" s="1">
        <v>3560</v>
      </c>
      <c r="D406" s="2">
        <v>42688</v>
      </c>
      <c r="E406" s="1" t="s">
        <v>42</v>
      </c>
      <c r="F406" t="str">
        <f>HYPERLINK("http://www.sec.gov/Archives/edgar/data/877212/0000877212-16-000023-index.html")</f>
        <v>http://www.sec.gov/Archives/edgar/data/877212/0000877212-16-000023-index.html</v>
      </c>
    </row>
    <row r="407" spans="1:6" x14ac:dyDescent="0.2">
      <c r="A407" t="s">
        <v>408</v>
      </c>
      <c r="B407" s="1">
        <v>886206</v>
      </c>
      <c r="C407" s="1">
        <v>8741</v>
      </c>
      <c r="D407" s="2">
        <v>42688</v>
      </c>
      <c r="E407" s="1" t="s">
        <v>18</v>
      </c>
      <c r="F407" t="str">
        <f>HYPERLINK("http://www.sec.gov/Archives/edgar/data/886206/0000886206-16-000075-index.html")</f>
        <v>http://www.sec.gov/Archives/edgar/data/886206/0000886206-16-000075-index.html</v>
      </c>
    </row>
    <row r="408" spans="1:6" x14ac:dyDescent="0.2">
      <c r="A408" t="s">
        <v>379</v>
      </c>
      <c r="B408" s="1">
        <v>1309056</v>
      </c>
      <c r="C408" s="1">
        <v>7389</v>
      </c>
      <c r="D408" s="2">
        <v>42688</v>
      </c>
      <c r="E408" s="1" t="s">
        <v>18</v>
      </c>
      <c r="F408" t="str">
        <f>HYPERLINK("http://www.sec.gov/Archives/edgar/data/1309056/0001615774-16-008318-index.html")</f>
        <v>http://www.sec.gov/Archives/edgar/data/1309056/0001615774-16-008318-index.html</v>
      </c>
    </row>
    <row r="409" spans="1:6" x14ac:dyDescent="0.2">
      <c r="A409" t="s">
        <v>390</v>
      </c>
      <c r="B409" s="1">
        <v>67887</v>
      </c>
      <c r="C409" s="1">
        <v>3590</v>
      </c>
      <c r="D409" s="2">
        <v>42688</v>
      </c>
      <c r="E409" s="1" t="s">
        <v>18</v>
      </c>
      <c r="F409" t="str">
        <f>HYPERLINK("http://www.sec.gov/Archives/edgar/data/67887/0000067887-16-000213-index.html")</f>
        <v>http://www.sec.gov/Archives/edgar/data/67887/0000067887-16-000213-index.html</v>
      </c>
    </row>
    <row r="410" spans="1:6" x14ac:dyDescent="0.2">
      <c r="A410" t="s">
        <v>393</v>
      </c>
      <c r="B410" s="1">
        <v>886163</v>
      </c>
      <c r="C410" s="1">
        <v>2834</v>
      </c>
      <c r="D410" s="2">
        <v>42688</v>
      </c>
      <c r="E410" s="1" t="s">
        <v>42</v>
      </c>
      <c r="F410" t="str">
        <f>HYPERLINK("http://www.sec.gov/Archives/edgar/data/886163/0000886163-16-000239-index.html")</f>
        <v>http://www.sec.gov/Archives/edgar/data/886163/0000886163-16-000239-index.html</v>
      </c>
    </row>
    <row r="411" spans="1:6" x14ac:dyDescent="0.2">
      <c r="A411" t="s">
        <v>409</v>
      </c>
      <c r="B411" s="1">
        <v>792130</v>
      </c>
      <c r="C411" s="1">
        <v>7372</v>
      </c>
      <c r="D411" s="2">
        <v>42684</v>
      </c>
      <c r="E411" s="1" t="s">
        <v>18</v>
      </c>
      <c r="F411" t="str">
        <f>HYPERLINK("http://www.sec.gov/Archives/edgar/data/792130/0001144204-16-133226-index.html")</f>
        <v>http://www.sec.gov/Archives/edgar/data/792130/0001144204-16-133226-index.html</v>
      </c>
    </row>
    <row r="412" spans="1:6" x14ac:dyDescent="0.2">
      <c r="A412" t="s">
        <v>410</v>
      </c>
      <c r="B412" s="1">
        <v>814547</v>
      </c>
      <c r="C412" s="1">
        <v>7389</v>
      </c>
      <c r="D412" s="2">
        <v>42684</v>
      </c>
      <c r="E412" s="1" t="s">
        <v>18</v>
      </c>
      <c r="F412" t="str">
        <f>HYPERLINK("http://www.sec.gov/Archives/edgar/data/814547/0000814547-16-000035-index.html")</f>
        <v>http://www.sec.gov/Archives/edgar/data/814547/0000814547-16-000035-index.html</v>
      </c>
    </row>
    <row r="413" spans="1:6" x14ac:dyDescent="0.2">
      <c r="A413" t="s">
        <v>411</v>
      </c>
      <c r="B413" s="1">
        <v>1286131</v>
      </c>
      <c r="C413" s="1">
        <v>7200</v>
      </c>
      <c r="D413" s="2">
        <v>42683</v>
      </c>
      <c r="E413" s="1" t="s">
        <v>42</v>
      </c>
      <c r="F413" t="str">
        <f>HYPERLINK("http://www.sec.gov/Archives/edgar/data/1286131/0001193125-16-764513-index.html")</f>
        <v>http://www.sec.gov/Archives/edgar/data/1286131/0001193125-16-764513-index.html</v>
      </c>
    </row>
    <row r="414" spans="1:6" x14ac:dyDescent="0.2">
      <c r="A414" t="s">
        <v>412</v>
      </c>
      <c r="B414" s="1">
        <v>1339947</v>
      </c>
      <c r="C414" s="1">
        <v>4841</v>
      </c>
      <c r="D414" s="2">
        <v>42683</v>
      </c>
      <c r="E414" s="1" t="s">
        <v>18</v>
      </c>
      <c r="F414" t="str">
        <f>HYPERLINK("http://www.sec.gov/Archives/edgar/data/1339947/0001339947-16-000110-index.html")</f>
        <v>http://www.sec.gov/Archives/edgar/data/1339947/0001339947-16-000110-index.html</v>
      </c>
    </row>
    <row r="415" spans="1:6" x14ac:dyDescent="0.2">
      <c r="A415" t="s">
        <v>413</v>
      </c>
      <c r="B415" s="1">
        <v>1482554</v>
      </c>
      <c r="C415" s="1">
        <v>7374</v>
      </c>
      <c r="D415" s="2">
        <v>42683</v>
      </c>
      <c r="E415" s="1" t="s">
        <v>18</v>
      </c>
      <c r="F415" t="str">
        <f>HYPERLINK("http://www.sec.gov/Archives/edgar/data/1482554/0001079973-16-001267-index.html")</f>
        <v>http://www.sec.gov/Archives/edgar/data/1482554/0001079973-16-001267-index.html</v>
      </c>
    </row>
    <row r="416" spans="1:6" x14ac:dyDescent="0.2">
      <c r="A416" t="s">
        <v>414</v>
      </c>
      <c r="B416" s="1">
        <v>1549145</v>
      </c>
      <c r="C416" s="1">
        <v>2860</v>
      </c>
      <c r="D416" s="2">
        <v>42683</v>
      </c>
      <c r="E416" s="1" t="s">
        <v>42</v>
      </c>
      <c r="F416" t="str">
        <f>HYPERLINK("http://www.sec.gov/Archives/edgar/data/1549145/0001493152-16-014654-index.html")</f>
        <v>http://www.sec.gov/Archives/edgar/data/1549145/0001493152-16-014654-index.html</v>
      </c>
    </row>
    <row r="417" spans="1:6" x14ac:dyDescent="0.2">
      <c r="A417" t="s">
        <v>415</v>
      </c>
      <c r="B417" s="1">
        <v>1424768</v>
      </c>
      <c r="C417" s="1">
        <v>3841</v>
      </c>
      <c r="D417" s="2">
        <v>42682</v>
      </c>
      <c r="E417" s="1" t="s">
        <v>42</v>
      </c>
      <c r="F417" t="str">
        <f>HYPERLINK("http://www.sec.gov/Archives/edgar/data/1424768/0001493152-16-014609-index.html")</f>
        <v>http://www.sec.gov/Archives/edgar/data/1424768/0001493152-16-014609-index.html</v>
      </c>
    </row>
    <row r="418" spans="1:6" x14ac:dyDescent="0.2">
      <c r="A418" t="s">
        <v>416</v>
      </c>
      <c r="B418" s="1">
        <v>1511161</v>
      </c>
      <c r="C418" s="1">
        <v>3652</v>
      </c>
      <c r="D418" s="2">
        <v>42682</v>
      </c>
      <c r="E418" s="1" t="s">
        <v>18</v>
      </c>
      <c r="F418" t="str">
        <f>HYPERLINK("http://www.sec.gov/Archives/edgar/data/1511161/0001393905-16-001076-index.html")</f>
        <v>http://www.sec.gov/Archives/edgar/data/1511161/0001393905-16-001076-index.html</v>
      </c>
    </row>
    <row r="419" spans="1:6" x14ac:dyDescent="0.2">
      <c r="A419" t="s">
        <v>417</v>
      </c>
      <c r="B419" s="1">
        <v>1550053</v>
      </c>
      <c r="C419" s="1">
        <v>7948</v>
      </c>
      <c r="D419" s="2">
        <v>42682</v>
      </c>
      <c r="E419" s="1" t="s">
        <v>18</v>
      </c>
      <c r="F419" t="str">
        <f>HYPERLINK("http://www.sec.gov/Archives/edgar/data/1550053/0001683168-16-000505-index.html")</f>
        <v>http://www.sec.gov/Archives/edgar/data/1550053/0001683168-16-000505-index.html</v>
      </c>
    </row>
    <row r="420" spans="1:6" x14ac:dyDescent="0.2">
      <c r="A420" t="s">
        <v>418</v>
      </c>
      <c r="B420" s="1">
        <v>928465</v>
      </c>
      <c r="C420" s="1">
        <v>5141</v>
      </c>
      <c r="D420" s="2">
        <v>42682</v>
      </c>
      <c r="E420" s="1" t="s">
        <v>18</v>
      </c>
      <c r="F420" t="str">
        <f>HYPERLINK("http://www.sec.gov/Archives/edgar/data/928465/0001558370-16-009684-index.html")</f>
        <v>http://www.sec.gov/Archives/edgar/data/928465/0001558370-16-009684-index.html</v>
      </c>
    </row>
    <row r="421" spans="1:6" x14ac:dyDescent="0.2">
      <c r="A421" t="s">
        <v>419</v>
      </c>
      <c r="B421" s="1">
        <v>1491487</v>
      </c>
      <c r="C421" s="1">
        <v>5990</v>
      </c>
      <c r="D421" s="2">
        <v>42681</v>
      </c>
      <c r="E421" s="1" t="s">
        <v>42</v>
      </c>
      <c r="F421" t="str">
        <f>HYPERLINK("http://www.sec.gov/Archives/edgar/data/1491487/0001144204-16-131979-index.html")</f>
        <v>http://www.sec.gov/Archives/edgar/data/1491487/0001144204-16-131979-index.html</v>
      </c>
    </row>
    <row r="422" spans="1:6" x14ac:dyDescent="0.2">
      <c r="A422" t="s">
        <v>420</v>
      </c>
      <c r="B422" s="1">
        <v>1048695</v>
      </c>
      <c r="C422" s="1">
        <v>3576</v>
      </c>
      <c r="D422" s="2">
        <v>42678</v>
      </c>
      <c r="E422" s="1" t="s">
        <v>18</v>
      </c>
      <c r="F422" t="str">
        <f>HYPERLINK("http://www.sec.gov/Archives/edgar/data/1048695/0001048695-16-000049-index.html")</f>
        <v>http://www.sec.gov/Archives/edgar/data/1048695/0001048695-16-000049-index.html</v>
      </c>
    </row>
    <row r="423" spans="1:6" x14ac:dyDescent="0.2">
      <c r="A423" t="s">
        <v>421</v>
      </c>
      <c r="B423" s="1">
        <v>104897</v>
      </c>
      <c r="C423" s="1">
        <v>3540</v>
      </c>
      <c r="D423" s="2">
        <v>42678</v>
      </c>
      <c r="E423" s="1" t="s">
        <v>18</v>
      </c>
      <c r="F423" t="str">
        <f>HYPERLINK("http://www.sec.gov/Archives/edgar/data/104897/0001493152-16-014531-index.html")</f>
        <v>http://www.sec.gov/Archives/edgar/data/104897/0001493152-16-014531-index.html</v>
      </c>
    </row>
    <row r="424" spans="1:6" x14ac:dyDescent="0.2">
      <c r="A424" t="s">
        <v>422</v>
      </c>
      <c r="B424" s="1">
        <v>1084370</v>
      </c>
      <c r="C424" s="1">
        <v>7389</v>
      </c>
      <c r="D424" s="2">
        <v>42678</v>
      </c>
      <c r="E424" s="1" t="s">
        <v>42</v>
      </c>
      <c r="F424" t="str">
        <f>HYPERLINK("http://www.sec.gov/Archives/edgar/data/1084370/0001477932-16-013260-index.html")</f>
        <v>http://www.sec.gov/Archives/edgar/data/1084370/0001477932-16-013260-index.html</v>
      </c>
    </row>
    <row r="425" spans="1:6" x14ac:dyDescent="0.2">
      <c r="A425" t="s">
        <v>368</v>
      </c>
      <c r="B425" s="1">
        <v>1386936</v>
      </c>
      <c r="C425" s="1">
        <v>1000</v>
      </c>
      <c r="D425" s="2">
        <v>42678</v>
      </c>
      <c r="E425" s="1" t="s">
        <v>42</v>
      </c>
      <c r="F425" t="str">
        <f>HYPERLINK("http://www.sec.gov/Archives/edgar/data/1386936/0001477932-16-013262-index.html")</f>
        <v>http://www.sec.gov/Archives/edgar/data/1386936/0001477932-16-013262-index.html</v>
      </c>
    </row>
    <row r="426" spans="1:6" x14ac:dyDescent="0.2">
      <c r="A426" t="s">
        <v>423</v>
      </c>
      <c r="B426" s="1">
        <v>1429393</v>
      </c>
      <c r="C426" s="1">
        <v>3630</v>
      </c>
      <c r="D426" s="2">
        <v>42677</v>
      </c>
      <c r="E426" s="1" t="s">
        <v>42</v>
      </c>
      <c r="F426" t="str">
        <f>HYPERLINK("http://www.sec.gov/Archives/edgar/data/1429393/0001077048-16-000109-index.html")</f>
        <v>http://www.sec.gov/Archives/edgar/data/1429393/0001077048-16-000109-index.html</v>
      </c>
    </row>
    <row r="427" spans="1:6" x14ac:dyDescent="0.2">
      <c r="A427" t="s">
        <v>424</v>
      </c>
      <c r="B427" s="1">
        <v>1587755</v>
      </c>
      <c r="C427" s="1">
        <v>7990</v>
      </c>
      <c r="D427" s="2">
        <v>42677</v>
      </c>
      <c r="E427" s="1" t="s">
        <v>42</v>
      </c>
      <c r="F427" t="str">
        <f>HYPERLINK("http://www.sec.gov/Archives/edgar/data/1587755/0001140361-16-084750-index.html")</f>
        <v>http://www.sec.gov/Archives/edgar/data/1587755/0001140361-16-084750-index.html</v>
      </c>
    </row>
    <row r="428" spans="1:6" x14ac:dyDescent="0.2">
      <c r="A428" t="s">
        <v>425</v>
      </c>
      <c r="B428" s="1">
        <v>1604627</v>
      </c>
      <c r="C428" s="1">
        <v>3080</v>
      </c>
      <c r="D428" s="2">
        <v>42677</v>
      </c>
      <c r="E428" s="1" t="s">
        <v>18</v>
      </c>
      <c r="F428" t="str">
        <f>HYPERLINK("http://www.sec.gov/Archives/edgar/data/1604627/0001511164-16-001102-index.html")</f>
        <v>http://www.sec.gov/Archives/edgar/data/1604627/0001511164-16-001102-index.html</v>
      </c>
    </row>
    <row r="429" spans="1:6" x14ac:dyDescent="0.2">
      <c r="A429" t="s">
        <v>426</v>
      </c>
      <c r="B429" s="1">
        <v>823277</v>
      </c>
      <c r="C429" s="1">
        <v>5150</v>
      </c>
      <c r="D429" s="2">
        <v>42677</v>
      </c>
      <c r="E429" s="1" t="s">
        <v>18</v>
      </c>
      <c r="F429" t="str">
        <f>HYPERLINK("http://www.sec.gov/Archives/edgar/data/823277/0000823277-16-000065-index.html")</f>
        <v>http://www.sec.gov/Archives/edgar/data/823277/0000823277-16-000065-index.html</v>
      </c>
    </row>
    <row r="430" spans="1:6" x14ac:dyDescent="0.2">
      <c r="A430" t="s">
        <v>427</v>
      </c>
      <c r="B430" s="1">
        <v>1534154</v>
      </c>
      <c r="C430" s="1">
        <v>7372</v>
      </c>
      <c r="D430" s="2">
        <v>42676</v>
      </c>
      <c r="E430" s="1" t="s">
        <v>18</v>
      </c>
      <c r="F430" t="str">
        <f>HYPERLINK("http://www.sec.gov/Archives/edgar/data/1534154/0001615774-16-007936-index.html")</f>
        <v>http://www.sec.gov/Archives/edgar/data/1534154/0001615774-16-007936-index.html</v>
      </c>
    </row>
    <row r="431" spans="1:6" x14ac:dyDescent="0.2">
      <c r="A431" t="s">
        <v>428</v>
      </c>
      <c r="B431" s="1">
        <v>1626644</v>
      </c>
      <c r="C431" s="1">
        <v>2833</v>
      </c>
      <c r="D431" s="2">
        <v>42676</v>
      </c>
      <c r="E431" s="1" t="s">
        <v>18</v>
      </c>
      <c r="F431" t="str">
        <f>HYPERLINK("http://www.sec.gov/Archives/edgar/data/1626644/0001683168-16-000458-index.html")</f>
        <v>http://www.sec.gov/Archives/edgar/data/1626644/0001683168-16-000458-index.html</v>
      </c>
    </row>
    <row r="432" spans="1:6" x14ac:dyDescent="0.2">
      <c r="A432" t="s">
        <v>429</v>
      </c>
      <c r="B432" s="1">
        <v>804328</v>
      </c>
      <c r="C432" s="1">
        <v>3663</v>
      </c>
      <c r="D432" s="2">
        <v>42676</v>
      </c>
      <c r="E432" s="1" t="s">
        <v>18</v>
      </c>
      <c r="F432" t="str">
        <f>HYPERLINK("http://www.sec.gov/Archives/edgar/data/804328/0001234452-16-000552-index.html")</f>
        <v>http://www.sec.gov/Archives/edgar/data/804328/0001234452-16-000552-index.html</v>
      </c>
    </row>
    <row r="433" spans="1:6" x14ac:dyDescent="0.2">
      <c r="A433" t="s">
        <v>430</v>
      </c>
      <c r="B433" s="1">
        <v>885307</v>
      </c>
      <c r="C433" s="1">
        <v>5211</v>
      </c>
      <c r="D433" s="2">
        <v>42676</v>
      </c>
      <c r="E433" s="1" t="s">
        <v>18</v>
      </c>
      <c r="F433" t="str">
        <f>HYPERLINK("http://www.sec.gov/Archives/edgar/data/885307/0001217160-16-000703-index.html")</f>
        <v>http://www.sec.gov/Archives/edgar/data/885307/0001217160-16-000703-index.html</v>
      </c>
    </row>
    <row r="434" spans="1:6" x14ac:dyDescent="0.2">
      <c r="A434" t="s">
        <v>431</v>
      </c>
      <c r="B434" s="1">
        <v>1003078</v>
      </c>
      <c r="C434" s="1">
        <v>5084</v>
      </c>
      <c r="D434" s="2">
        <v>42675</v>
      </c>
      <c r="E434" s="1" t="s">
        <v>18</v>
      </c>
      <c r="F434" t="str">
        <f>HYPERLINK("http://www.sec.gov/Archives/edgar/data/1003078/0001003078-16-000362-index.html")</f>
        <v>http://www.sec.gov/Archives/edgar/data/1003078/0001003078-16-000362-index.html</v>
      </c>
    </row>
    <row r="435" spans="1:6" x14ac:dyDescent="0.2">
      <c r="A435" t="s">
        <v>432</v>
      </c>
      <c r="B435" s="1">
        <v>1308606</v>
      </c>
      <c r="C435" s="1">
        <v>6512</v>
      </c>
      <c r="D435" s="2">
        <v>42675</v>
      </c>
      <c r="E435" s="1" t="s">
        <v>42</v>
      </c>
      <c r="F435" t="str">
        <f>HYPERLINK("http://www.sec.gov/Archives/edgar/data/1308606/0001308606-16-000334-index.html")</f>
        <v>http://www.sec.gov/Archives/edgar/data/1308606/0001308606-16-000334-index.html</v>
      </c>
    </row>
    <row r="436" spans="1:6" x14ac:dyDescent="0.2">
      <c r="A436" t="s">
        <v>433</v>
      </c>
      <c r="B436" s="1">
        <v>1346655</v>
      </c>
      <c r="C436" s="1">
        <v>7310</v>
      </c>
      <c r="D436" s="2">
        <v>42675</v>
      </c>
      <c r="E436" s="1" t="s">
        <v>18</v>
      </c>
      <c r="F436" t="str">
        <f>HYPERLINK("http://www.sec.gov/Archives/edgar/data/1346655/0001346655-16-000040-index.html")</f>
        <v>http://www.sec.gov/Archives/edgar/data/1346655/0001346655-16-000040-index.html</v>
      </c>
    </row>
    <row r="437" spans="1:6" x14ac:dyDescent="0.2">
      <c r="A437" t="s">
        <v>434</v>
      </c>
      <c r="B437" s="1">
        <v>1610853</v>
      </c>
      <c r="C437" s="1">
        <v>3845</v>
      </c>
      <c r="D437" s="2">
        <v>42675</v>
      </c>
      <c r="E437" s="1" t="s">
        <v>42</v>
      </c>
      <c r="F437" t="str">
        <f>HYPERLINK("http://www.sec.gov/Archives/edgar/data/1610853/0001062993-16-011939-index.html")</f>
        <v>http://www.sec.gov/Archives/edgar/data/1610853/0001062993-16-011939-index.html</v>
      </c>
    </row>
    <row r="438" spans="1:6" x14ac:dyDescent="0.2">
      <c r="A438" t="s">
        <v>395</v>
      </c>
      <c r="B438" s="1">
        <v>919175</v>
      </c>
      <c r="C438" s="1">
        <v>5110</v>
      </c>
      <c r="D438" s="2">
        <v>42675</v>
      </c>
      <c r="E438" s="1" t="s">
        <v>18</v>
      </c>
      <c r="F438" t="str">
        <f>HYPERLINK("http://www.sec.gov/Archives/edgar/data/919175/0001520138-16-001218-index.html")</f>
        <v>http://www.sec.gov/Archives/edgar/data/919175/0001520138-16-001218-index.html</v>
      </c>
    </row>
    <row r="439" spans="1:6" x14ac:dyDescent="0.2">
      <c r="A439" t="s">
        <v>435</v>
      </c>
      <c r="B439" s="1">
        <v>1013237</v>
      </c>
      <c r="C439" s="1">
        <v>7370</v>
      </c>
      <c r="D439" s="2">
        <v>42674</v>
      </c>
      <c r="E439" s="1" t="s">
        <v>18</v>
      </c>
      <c r="F439" t="str">
        <f>HYPERLINK("http://www.sec.gov/Archives/edgar/data/1013237/0001437749-16-040606-index.html")</f>
        <v>http://www.sec.gov/Archives/edgar/data/1013237/0001437749-16-040606-index.html</v>
      </c>
    </row>
    <row r="440" spans="1:6" x14ac:dyDescent="0.2">
      <c r="A440" t="s">
        <v>436</v>
      </c>
      <c r="B440" s="1">
        <v>1345756</v>
      </c>
      <c r="C440" s="1">
        <v>1000</v>
      </c>
      <c r="D440" s="2">
        <v>42674</v>
      </c>
      <c r="E440" s="1" t="s">
        <v>18</v>
      </c>
      <c r="F440" t="str">
        <f>HYPERLINK("http://www.sec.gov/Archives/edgar/data/1345756/0001477932-16-013195-index.html")</f>
        <v>http://www.sec.gov/Archives/edgar/data/1345756/0001477932-16-013195-index.html</v>
      </c>
    </row>
    <row r="441" spans="1:6" x14ac:dyDescent="0.2">
      <c r="A441" t="s">
        <v>437</v>
      </c>
      <c r="B441" s="1">
        <v>1419051</v>
      </c>
      <c r="C441" s="1">
        <v>3841</v>
      </c>
      <c r="D441" s="2">
        <v>42674</v>
      </c>
      <c r="E441" s="1" t="s">
        <v>18</v>
      </c>
      <c r="F441" t="str">
        <f>HYPERLINK("http://www.sec.gov/Archives/edgar/data/1419051/0001078782-16-003690-index.html")</f>
        <v>http://www.sec.gov/Archives/edgar/data/1419051/0001078782-16-003690-index.html</v>
      </c>
    </row>
    <row r="442" spans="1:6" x14ac:dyDescent="0.2">
      <c r="A442" t="s">
        <v>438</v>
      </c>
      <c r="B442" s="1">
        <v>1472468</v>
      </c>
      <c r="C442" s="1">
        <v>3621</v>
      </c>
      <c r="D442" s="2">
        <v>42674</v>
      </c>
      <c r="E442" s="1" t="s">
        <v>18</v>
      </c>
      <c r="F442" t="str">
        <f>HYPERLINK("http://www.sec.gov/Archives/edgar/data/1472468/0001062993-16-011913-index.html")</f>
        <v>http://www.sec.gov/Archives/edgar/data/1472468/0001062993-16-011913-index.html</v>
      </c>
    </row>
    <row r="443" spans="1:6" x14ac:dyDescent="0.2">
      <c r="A443" t="s">
        <v>439</v>
      </c>
      <c r="B443" s="1">
        <v>1498122</v>
      </c>
      <c r="C443" s="1">
        <v>6510</v>
      </c>
      <c r="D443" s="2">
        <v>42674</v>
      </c>
      <c r="E443" s="1" t="s">
        <v>18</v>
      </c>
      <c r="F443" t="str">
        <f>HYPERLINK("http://www.sec.gov/Archives/edgar/data/1498122/0001213900-16-017813-index.html")</f>
        <v>http://www.sec.gov/Archives/edgar/data/1498122/0001213900-16-017813-index.html</v>
      </c>
    </row>
    <row r="444" spans="1:6" x14ac:dyDescent="0.2">
      <c r="A444" t="s">
        <v>440</v>
      </c>
      <c r="B444" s="1">
        <v>1584754</v>
      </c>
      <c r="C444" s="1">
        <v>3661</v>
      </c>
      <c r="D444" s="2">
        <v>42674</v>
      </c>
      <c r="E444" s="1" t="s">
        <v>21</v>
      </c>
      <c r="F444" t="str">
        <f>HYPERLINK("http://www.sec.gov/Archives/edgar/data/1584754/0001615774-16-007904-index.html")</f>
        <v>http://www.sec.gov/Archives/edgar/data/1584754/0001615774-16-007904-index.html</v>
      </c>
    </row>
    <row r="445" spans="1:6" x14ac:dyDescent="0.2">
      <c r="A445" t="s">
        <v>441</v>
      </c>
      <c r="B445" s="1">
        <v>1602813</v>
      </c>
      <c r="C445" s="1">
        <v>8742</v>
      </c>
      <c r="D445" s="2">
        <v>42674</v>
      </c>
      <c r="E445" s="1" t="s">
        <v>18</v>
      </c>
      <c r="F445" t="str">
        <f>HYPERLINK("http://www.sec.gov/Archives/edgar/data/1602813/0001549727-16-000160-index.html")</f>
        <v>http://www.sec.gov/Archives/edgar/data/1602813/0001549727-16-000160-index.html</v>
      </c>
    </row>
    <row r="446" spans="1:6" x14ac:dyDescent="0.2">
      <c r="A446" t="s">
        <v>442</v>
      </c>
      <c r="B446" s="1">
        <v>1623360</v>
      </c>
      <c r="C446" s="1">
        <v>3089</v>
      </c>
      <c r="D446" s="2">
        <v>42674</v>
      </c>
      <c r="E446" s="1" t="s">
        <v>18</v>
      </c>
      <c r="F446" t="str">
        <f>HYPERLINK("http://www.sec.gov/Archives/edgar/data/1623360/0001640334-16-001896-index.html")</f>
        <v>http://www.sec.gov/Archives/edgar/data/1623360/0001640334-16-001896-index.html</v>
      </c>
    </row>
    <row r="447" spans="1:6" x14ac:dyDescent="0.2">
      <c r="A447" t="s">
        <v>443</v>
      </c>
      <c r="B447" s="1">
        <v>22444</v>
      </c>
      <c r="C447" s="1">
        <v>3312</v>
      </c>
      <c r="D447" s="2">
        <v>42674</v>
      </c>
      <c r="E447" s="1" t="s">
        <v>18</v>
      </c>
      <c r="F447" t="str">
        <f>HYPERLINK("http://www.sec.gov/Archives/edgar/data/22444/0000022444-16-000059-index.html")</f>
        <v>http://www.sec.gov/Archives/edgar/data/22444/0000022444-16-000059-index.html</v>
      </c>
    </row>
    <row r="448" spans="1:6" x14ac:dyDescent="0.2">
      <c r="A448" t="s">
        <v>444</v>
      </c>
      <c r="B448" s="1">
        <v>73605</v>
      </c>
      <c r="C448" s="1">
        <v>3728</v>
      </c>
      <c r="D448" s="2">
        <v>42674</v>
      </c>
      <c r="E448" s="1" t="s">
        <v>18</v>
      </c>
      <c r="F448" t="str">
        <f>HYPERLINK("http://www.sec.gov/Archives/edgar/data/73605/0000073605-16-000025-index.html")</f>
        <v>http://www.sec.gov/Archives/edgar/data/73605/0000073605-16-000025-index.html</v>
      </c>
    </row>
    <row r="449" spans="1:6" x14ac:dyDescent="0.2">
      <c r="A449" t="s">
        <v>445</v>
      </c>
      <c r="B449" s="1">
        <v>802510</v>
      </c>
      <c r="C449" s="1">
        <v>6199</v>
      </c>
      <c r="D449" s="2">
        <v>42674</v>
      </c>
      <c r="E449" s="1" t="s">
        <v>18</v>
      </c>
      <c r="F449" t="str">
        <f>HYPERLINK("http://www.sec.gov/Archives/edgar/data/802510/0001477932-16-013184-index.html")</f>
        <v>http://www.sec.gov/Archives/edgar/data/802510/0001477932-16-013184-index.html</v>
      </c>
    </row>
    <row r="450" spans="1:6" x14ac:dyDescent="0.2">
      <c r="A450" t="s">
        <v>446</v>
      </c>
      <c r="B450" s="1">
        <v>811222</v>
      </c>
      <c r="C450" s="1">
        <v>5812</v>
      </c>
      <c r="D450" s="2">
        <v>42674</v>
      </c>
      <c r="E450" s="1" t="s">
        <v>18</v>
      </c>
      <c r="F450" t="str">
        <f>HYPERLINK("http://www.sec.gov/Archives/edgar/data/811222/0001683168-16-000415-index.html")</f>
        <v>http://www.sec.gov/Archives/edgar/data/811222/0001683168-16-000415-index.html</v>
      </c>
    </row>
    <row r="451" spans="1:6" x14ac:dyDescent="0.2">
      <c r="A451" t="s">
        <v>447</v>
      </c>
      <c r="B451" s="1">
        <v>868611</v>
      </c>
      <c r="C451" s="1">
        <v>5812</v>
      </c>
      <c r="D451" s="2">
        <v>42674</v>
      </c>
      <c r="E451" s="1" t="s">
        <v>18</v>
      </c>
      <c r="F451" t="str">
        <f>HYPERLINK("http://www.sec.gov/Archives/edgar/data/868611/0000868611-16-000124-index.html")</f>
        <v>http://www.sec.gov/Archives/edgar/data/868611/0000868611-16-000124-index.html</v>
      </c>
    </row>
    <row r="452" spans="1:6" x14ac:dyDescent="0.2">
      <c r="A452" t="s">
        <v>448</v>
      </c>
      <c r="B452" s="1">
        <v>99771</v>
      </c>
      <c r="C452" s="1">
        <v>6021</v>
      </c>
      <c r="D452" s="2">
        <v>42674</v>
      </c>
      <c r="E452" s="1" t="s">
        <v>18</v>
      </c>
      <c r="F452" t="str">
        <f>HYPERLINK("http://www.sec.gov/Archives/edgar/data/99771/0001140361-16-084212-index.html")</f>
        <v>http://www.sec.gov/Archives/edgar/data/99771/0001140361-16-084212-index.html</v>
      </c>
    </row>
    <row r="453" spans="1:6" x14ac:dyDescent="0.2">
      <c r="A453" t="s">
        <v>449</v>
      </c>
      <c r="B453" s="1">
        <v>1092367</v>
      </c>
      <c r="C453" s="1">
        <v>3661</v>
      </c>
      <c r="D453" s="2">
        <v>42671</v>
      </c>
      <c r="E453" s="1" t="s">
        <v>18</v>
      </c>
      <c r="F453" t="str">
        <f>HYPERLINK("http://www.sec.gov/Archives/edgar/data/1092367/0001193125-16-751654-index.html")</f>
        <v>http://www.sec.gov/Archives/edgar/data/1092367/0001193125-16-751654-index.html</v>
      </c>
    </row>
    <row r="454" spans="1:6" x14ac:dyDescent="0.2">
      <c r="A454" t="s">
        <v>450</v>
      </c>
      <c r="B454" s="1">
        <v>1353406</v>
      </c>
      <c r="C454" s="1">
        <v>1311</v>
      </c>
      <c r="D454" s="2">
        <v>42671</v>
      </c>
      <c r="E454" s="1" t="s">
        <v>18</v>
      </c>
      <c r="F454" t="str">
        <f>HYPERLINK("http://www.sec.gov/Archives/edgar/data/1353406/0001615774-16-007843-index.html")</f>
        <v>http://www.sec.gov/Archives/edgar/data/1353406/0001615774-16-007843-index.html</v>
      </c>
    </row>
    <row r="455" spans="1:6" x14ac:dyDescent="0.2">
      <c r="A455" t="s">
        <v>451</v>
      </c>
      <c r="B455" s="1">
        <v>1385508</v>
      </c>
      <c r="C455" s="1">
        <v>1000</v>
      </c>
      <c r="D455" s="2">
        <v>42671</v>
      </c>
      <c r="E455" s="1" t="s">
        <v>18</v>
      </c>
      <c r="F455" t="str">
        <f>HYPERLINK("http://www.sec.gov/Archives/edgar/data/1385508/0001144204-16-130283-index.html")</f>
        <v>http://www.sec.gov/Archives/edgar/data/1385508/0001144204-16-130283-index.html</v>
      </c>
    </row>
    <row r="456" spans="1:6" x14ac:dyDescent="0.2">
      <c r="A456" t="s">
        <v>452</v>
      </c>
      <c r="B456" s="1">
        <v>1467373</v>
      </c>
      <c r="C456" s="1">
        <v>7389</v>
      </c>
      <c r="D456" s="2">
        <v>42671</v>
      </c>
      <c r="E456" s="1" t="s">
        <v>18</v>
      </c>
      <c r="F456" t="str">
        <f>HYPERLINK("http://www.sec.gov/Archives/edgar/data/1467373/0001467373-16-001080-index.html")</f>
        <v>http://www.sec.gov/Archives/edgar/data/1467373/0001467373-16-001080-index.html</v>
      </c>
    </row>
    <row r="457" spans="1:6" x14ac:dyDescent="0.2">
      <c r="A457" t="s">
        <v>453</v>
      </c>
      <c r="B457" s="1">
        <v>1647339</v>
      </c>
      <c r="C457" s="1">
        <v>7389</v>
      </c>
      <c r="D457" s="2">
        <v>42671</v>
      </c>
      <c r="E457" s="1" t="s">
        <v>18</v>
      </c>
      <c r="F457" t="str">
        <f>HYPERLINK("http://www.sec.gov/Archives/edgar/data/1647339/0001647339-16-000043-index.html")</f>
        <v>http://www.sec.gov/Archives/edgar/data/1647339/0001647339-16-000043-index.html</v>
      </c>
    </row>
    <row r="458" spans="1:6" x14ac:dyDescent="0.2">
      <c r="A458" t="s">
        <v>454</v>
      </c>
      <c r="B458" s="1">
        <v>276720</v>
      </c>
      <c r="C458" s="1">
        <v>4941</v>
      </c>
      <c r="D458" s="2">
        <v>42671</v>
      </c>
      <c r="E458" s="1" t="s">
        <v>18</v>
      </c>
      <c r="F458" t="str">
        <f>HYPERLINK("http://www.sec.gov/Archives/edgar/data/276720/0001654954-16-003152-index.html")</f>
        <v>http://www.sec.gov/Archives/edgar/data/276720/0001654954-16-003152-index.html</v>
      </c>
    </row>
    <row r="459" spans="1:6" x14ac:dyDescent="0.2">
      <c r="A459" t="s">
        <v>455</v>
      </c>
      <c r="B459" s="1">
        <v>6955</v>
      </c>
      <c r="C459" s="1">
        <v>3590</v>
      </c>
      <c r="D459" s="2">
        <v>42671</v>
      </c>
      <c r="E459" s="1" t="s">
        <v>18</v>
      </c>
      <c r="F459" t="str">
        <f>HYPERLINK("http://www.sec.gov/Archives/edgar/data/6955/0000006955-16-000084-index.html")</f>
        <v>http://www.sec.gov/Archives/edgar/data/6955/0000006955-16-000084-index.html</v>
      </c>
    </row>
    <row r="460" spans="1:6" x14ac:dyDescent="0.2">
      <c r="A460" t="s">
        <v>456</v>
      </c>
      <c r="B460" s="1">
        <v>723125</v>
      </c>
      <c r="C460" s="1">
        <v>3674</v>
      </c>
      <c r="D460" s="2">
        <v>42671</v>
      </c>
      <c r="E460" s="1" t="s">
        <v>18</v>
      </c>
      <c r="F460" t="str">
        <f>HYPERLINK("http://www.sec.gov/Archives/edgar/data/723125/0000723125-16-000269-index.html")</f>
        <v>http://www.sec.gov/Archives/edgar/data/723125/0000723125-16-000269-index.html</v>
      </c>
    </row>
    <row r="461" spans="1:6" x14ac:dyDescent="0.2">
      <c r="A461" t="s">
        <v>457</v>
      </c>
      <c r="B461" s="1">
        <v>764401</v>
      </c>
      <c r="C461" s="1">
        <v>3310</v>
      </c>
      <c r="D461" s="2">
        <v>42671</v>
      </c>
      <c r="E461" s="1" t="s">
        <v>18</v>
      </c>
      <c r="F461" t="str">
        <f>HYPERLINK("http://www.sec.gov/Archives/edgar/data/764401/0001437749-16-040500-index.html")</f>
        <v>http://www.sec.gov/Archives/edgar/data/764401/0001437749-16-040500-index.html</v>
      </c>
    </row>
    <row r="462" spans="1:6" x14ac:dyDescent="0.2">
      <c r="A462" t="s">
        <v>458</v>
      </c>
      <c r="B462" s="1">
        <v>786110</v>
      </c>
      <c r="C462" s="1">
        <v>2300</v>
      </c>
      <c r="D462" s="2">
        <v>42671</v>
      </c>
      <c r="E462" s="1" t="s">
        <v>21</v>
      </c>
      <c r="F462" t="str">
        <f>HYPERLINK("http://www.sec.gov/Archives/edgar/data/786110/0001193125-16-751374-index.html")</f>
        <v>http://www.sec.gov/Archives/edgar/data/786110/0001193125-16-751374-index.html</v>
      </c>
    </row>
    <row r="463" spans="1:6" x14ac:dyDescent="0.2">
      <c r="A463" t="s">
        <v>459</v>
      </c>
      <c r="B463" s="1">
        <v>879796</v>
      </c>
      <c r="C463" s="1">
        <v>7370</v>
      </c>
      <c r="D463" s="2">
        <v>42671</v>
      </c>
      <c r="E463" s="1" t="s">
        <v>18</v>
      </c>
      <c r="F463" t="str">
        <f>HYPERLINK("http://www.sec.gov/Archives/edgar/data/879796/0000879796-16-000056-index.html")</f>
        <v>http://www.sec.gov/Archives/edgar/data/879796/0000879796-16-000056-index.html</v>
      </c>
    </row>
    <row r="464" spans="1:6" x14ac:dyDescent="0.2">
      <c r="A464" t="s">
        <v>460</v>
      </c>
      <c r="B464" s="1">
        <v>919130</v>
      </c>
      <c r="C464" s="1">
        <v>7373</v>
      </c>
      <c r="D464" s="2">
        <v>42671</v>
      </c>
      <c r="E464" s="1" t="s">
        <v>18</v>
      </c>
      <c r="F464" t="str">
        <f>HYPERLINK("http://www.sec.gov/Archives/edgar/data/919130/0001513162-16-001059-index.html")</f>
        <v>http://www.sec.gov/Archives/edgar/data/919130/0001513162-16-001059-index.html</v>
      </c>
    </row>
    <row r="465" spans="1:6" x14ac:dyDescent="0.2">
      <c r="A465" t="s">
        <v>461</v>
      </c>
      <c r="B465" s="1">
        <v>937136</v>
      </c>
      <c r="C465" s="1">
        <v>1311</v>
      </c>
      <c r="D465" s="2">
        <v>42671</v>
      </c>
      <c r="E465" s="1" t="s">
        <v>42</v>
      </c>
      <c r="F465" t="str">
        <f>HYPERLINK("http://www.sec.gov/Archives/edgar/data/937136/0001047469-16-016383-index.html")</f>
        <v>http://www.sec.gov/Archives/edgar/data/937136/0001047469-16-016383-index.html</v>
      </c>
    </row>
    <row r="466" spans="1:6" x14ac:dyDescent="0.2">
      <c r="A466" t="s">
        <v>462</v>
      </c>
      <c r="B466" s="1">
        <v>1006028</v>
      </c>
      <c r="C466" s="1">
        <v>2890</v>
      </c>
      <c r="D466" s="2">
        <v>42670</v>
      </c>
      <c r="E466" s="1" t="s">
        <v>18</v>
      </c>
      <c r="F466" t="str">
        <f>HYPERLINK("http://www.sec.gov/Archives/edgar/data/1006028/0001493152-16-014317-index.html")</f>
        <v>http://www.sec.gov/Archives/edgar/data/1006028/0001493152-16-014317-index.html</v>
      </c>
    </row>
    <row r="467" spans="1:6" x14ac:dyDescent="0.2">
      <c r="A467" t="s">
        <v>463</v>
      </c>
      <c r="B467" s="1">
        <v>1014052</v>
      </c>
      <c r="C467" s="1">
        <v>4813</v>
      </c>
      <c r="D467" s="2">
        <v>42670</v>
      </c>
      <c r="E467" s="1" t="s">
        <v>18</v>
      </c>
      <c r="F467" t="str">
        <f>HYPERLINK("http://www.sec.gov/Archives/edgar/data/1014052/0001213900-16-017758-index.html")</f>
        <v>http://www.sec.gov/Archives/edgar/data/1014052/0001213900-16-017758-index.html</v>
      </c>
    </row>
    <row r="468" spans="1:6" x14ac:dyDescent="0.2">
      <c r="A468" t="s">
        <v>464</v>
      </c>
      <c r="B468" s="1">
        <v>1041803</v>
      </c>
      <c r="C468" s="1">
        <v>5331</v>
      </c>
      <c r="D468" s="2">
        <v>42670</v>
      </c>
      <c r="E468" s="1" t="s">
        <v>18</v>
      </c>
      <c r="F468" t="str">
        <f>HYPERLINK("http://www.sec.gov/Archives/edgar/data/1041803/0001041803-16-000096-index.html")</f>
        <v>http://www.sec.gov/Archives/edgar/data/1041803/0001041803-16-000096-index.html</v>
      </c>
    </row>
    <row r="469" spans="1:6" x14ac:dyDescent="0.2">
      <c r="A469" t="s">
        <v>465</v>
      </c>
      <c r="B469" s="1">
        <v>1137005</v>
      </c>
      <c r="C469" s="1">
        <v>2090</v>
      </c>
      <c r="D469" s="2">
        <v>42670</v>
      </c>
      <c r="E469" s="1" t="s">
        <v>18</v>
      </c>
      <c r="F469" t="str">
        <f>HYPERLINK("http://www.sec.gov/Archives/edgar/data/1137005/0001493152-16-014303-index.html")</f>
        <v>http://www.sec.gov/Archives/edgar/data/1137005/0001493152-16-014303-index.html</v>
      </c>
    </row>
    <row r="470" spans="1:6" x14ac:dyDescent="0.2">
      <c r="A470" t="s">
        <v>466</v>
      </c>
      <c r="B470" s="1">
        <v>1144215</v>
      </c>
      <c r="C470" s="1">
        <v>3640</v>
      </c>
      <c r="D470" s="2">
        <v>42670</v>
      </c>
      <c r="E470" s="1" t="s">
        <v>18</v>
      </c>
      <c r="F470" t="str">
        <f>HYPERLINK("http://www.sec.gov/Archives/edgar/data/1144215/0001144215-16-000287-index.html")</f>
        <v>http://www.sec.gov/Archives/edgar/data/1144215/0001144215-16-000287-index.html</v>
      </c>
    </row>
    <row r="471" spans="1:6" x14ac:dyDescent="0.2">
      <c r="A471" t="s">
        <v>467</v>
      </c>
      <c r="B471" s="1">
        <v>1478259</v>
      </c>
      <c r="C471" s="1">
        <v>6770</v>
      </c>
      <c r="D471" s="2">
        <v>42670</v>
      </c>
      <c r="E471" s="1" t="s">
        <v>18</v>
      </c>
      <c r="F471" t="str">
        <f>HYPERLINK("http://www.sec.gov/Archives/edgar/data/1478259/0001477932-16-013145-index.html")</f>
        <v>http://www.sec.gov/Archives/edgar/data/1478259/0001477932-16-013145-index.html</v>
      </c>
    </row>
    <row r="472" spans="1:6" x14ac:dyDescent="0.2">
      <c r="A472" t="s">
        <v>468</v>
      </c>
      <c r="B472" s="1">
        <v>1580608</v>
      </c>
      <c r="C472" s="1">
        <v>6141</v>
      </c>
      <c r="D472" s="2">
        <v>42670</v>
      </c>
      <c r="E472" s="1" t="s">
        <v>42</v>
      </c>
      <c r="F472" t="str">
        <f>HYPERLINK("http://www.sec.gov/Archives/edgar/data/1580608/0001580608-16-000241-index.html")</f>
        <v>http://www.sec.gov/Archives/edgar/data/1580608/0001580608-16-000241-index.html</v>
      </c>
    </row>
    <row r="473" spans="1:6" x14ac:dyDescent="0.2">
      <c r="A473" t="s">
        <v>469</v>
      </c>
      <c r="B473" s="1">
        <v>61398</v>
      </c>
      <c r="C473" s="1">
        <v>1311</v>
      </c>
      <c r="D473" s="2">
        <v>42670</v>
      </c>
      <c r="E473" s="1" t="s">
        <v>42</v>
      </c>
      <c r="F473" t="str">
        <f>HYPERLINK("http://www.sec.gov/Archives/edgar/data/61398/0000061398-16-000109-index.html")</f>
        <v>http://www.sec.gov/Archives/edgar/data/61398/0000061398-16-000109-index.html</v>
      </c>
    </row>
    <row r="474" spans="1:6" x14ac:dyDescent="0.2">
      <c r="A474" t="s">
        <v>470</v>
      </c>
      <c r="B474" s="1">
        <v>1667313</v>
      </c>
      <c r="C474" s="1">
        <v>7372</v>
      </c>
      <c r="D474" s="2">
        <v>42669</v>
      </c>
      <c r="E474" s="1" t="s">
        <v>18</v>
      </c>
      <c r="F474" t="str">
        <f>HYPERLINK("http://www.sec.gov/Archives/edgar/data/1667313/0001213900-16-017726-index.html")</f>
        <v>http://www.sec.gov/Archives/edgar/data/1667313/0001213900-16-017726-index.html</v>
      </c>
    </row>
    <row r="475" spans="1:6" x14ac:dyDescent="0.2">
      <c r="A475" t="s">
        <v>471</v>
      </c>
      <c r="B475" s="1">
        <v>320193</v>
      </c>
      <c r="C475" s="1">
        <v>3571</v>
      </c>
      <c r="D475" s="2">
        <v>42669</v>
      </c>
      <c r="E475" s="1" t="s">
        <v>18</v>
      </c>
      <c r="F475" t="str">
        <f>HYPERLINK("http://www.sec.gov/Archives/edgar/data/320193/0001628280-16-020309-index.html")</f>
        <v>http://www.sec.gov/Archives/edgar/data/320193/0001628280-16-020309-index.html</v>
      </c>
    </row>
    <row r="476" spans="1:6" x14ac:dyDescent="0.2">
      <c r="A476" t="s">
        <v>472</v>
      </c>
      <c r="B476" s="1">
        <v>717954</v>
      </c>
      <c r="C476" s="1">
        <v>7200</v>
      </c>
      <c r="D476" s="2">
        <v>42669</v>
      </c>
      <c r="E476" s="1" t="s">
        <v>18</v>
      </c>
      <c r="F476" t="str">
        <f>HYPERLINK("http://www.sec.gov/Archives/edgar/data/717954/0001437749-16-040348-index.html")</f>
        <v>http://www.sec.gov/Archives/edgar/data/717954/0001437749-16-040348-index.html</v>
      </c>
    </row>
    <row r="477" spans="1:6" x14ac:dyDescent="0.2">
      <c r="A477" t="s">
        <v>473</v>
      </c>
      <c r="B477" s="1">
        <v>87565</v>
      </c>
      <c r="C477" s="1">
        <v>2821</v>
      </c>
      <c r="D477" s="2">
        <v>42669</v>
      </c>
      <c r="E477" s="1" t="s">
        <v>18</v>
      </c>
      <c r="F477" t="str">
        <f>HYPERLINK("http://www.sec.gov/Archives/edgar/data/87565/0000087565-16-000135-index.html")</f>
        <v>http://www.sec.gov/Archives/edgar/data/87565/0000087565-16-000135-index.html</v>
      </c>
    </row>
    <row r="478" spans="1:6" x14ac:dyDescent="0.2">
      <c r="A478" t="s">
        <v>474</v>
      </c>
      <c r="B478" s="1">
        <v>720762</v>
      </c>
      <c r="C478" s="1">
        <v>3845</v>
      </c>
      <c r="D478" s="2">
        <v>42668</v>
      </c>
      <c r="E478" s="1" t="s">
        <v>18</v>
      </c>
      <c r="F478" t="str">
        <f>HYPERLINK("http://www.sec.gov/Archives/edgar/data/720762/0001493152-16-014232-index.html")</f>
        <v>http://www.sec.gov/Archives/edgar/data/720762/0001493152-16-014232-index.html</v>
      </c>
    </row>
    <row r="479" spans="1:6" x14ac:dyDescent="0.2">
      <c r="A479" t="s">
        <v>475</v>
      </c>
      <c r="B479" s="1">
        <v>912603</v>
      </c>
      <c r="C479" s="1">
        <v>5090</v>
      </c>
      <c r="D479" s="2">
        <v>42668</v>
      </c>
      <c r="E479" s="1" t="s">
        <v>18</v>
      </c>
      <c r="F479" t="str">
        <f>HYPERLINK("http://www.sec.gov/Archives/edgar/data/912603/0000912603-16-000262-index.html")</f>
        <v>http://www.sec.gov/Archives/edgar/data/912603/0000912603-16-000262-index.html</v>
      </c>
    </row>
    <row r="480" spans="1:6" x14ac:dyDescent="0.2">
      <c r="A480" t="s">
        <v>476</v>
      </c>
      <c r="B480" s="1">
        <v>923120</v>
      </c>
      <c r="C480" s="1">
        <v>3743</v>
      </c>
      <c r="D480" s="2">
        <v>42668</v>
      </c>
      <c r="E480" s="1" t="s">
        <v>18</v>
      </c>
      <c r="F480" t="str">
        <f>HYPERLINK("http://www.sec.gov/Archives/edgar/data/923120/0001193125-16-746547-index.html")</f>
        <v>http://www.sec.gov/Archives/edgar/data/923120/0001193125-16-746547-index.html</v>
      </c>
    </row>
    <row r="481" spans="1:6" x14ac:dyDescent="0.2">
      <c r="A481" t="s">
        <v>477</v>
      </c>
      <c r="B481" s="1">
        <v>105132</v>
      </c>
      <c r="C481" s="1">
        <v>2890</v>
      </c>
      <c r="D481" s="2">
        <v>42667</v>
      </c>
      <c r="E481" s="1" t="s">
        <v>18</v>
      </c>
      <c r="F481" t="str">
        <f>HYPERLINK("http://www.sec.gov/Archives/edgar/data/105132/0000105132-16-000097-index.html")</f>
        <v>http://www.sec.gov/Archives/edgar/data/105132/0000105132-16-000097-index.html</v>
      </c>
    </row>
    <row r="482" spans="1:6" x14ac:dyDescent="0.2">
      <c r="A482" t="s">
        <v>478</v>
      </c>
      <c r="B482" s="1">
        <v>1091596</v>
      </c>
      <c r="C482" s="1">
        <v>3841</v>
      </c>
      <c r="D482" s="2">
        <v>42667</v>
      </c>
      <c r="E482" s="1" t="s">
        <v>18</v>
      </c>
      <c r="F482" t="str">
        <f>HYPERLINK("http://www.sec.gov/Archives/edgar/data/1091596/0001144204-16-129029-index.html")</f>
        <v>http://www.sec.gov/Archives/edgar/data/1091596/0001144204-16-129029-index.html</v>
      </c>
    </row>
    <row r="483" spans="1:6" x14ac:dyDescent="0.2">
      <c r="A483" t="s">
        <v>479</v>
      </c>
      <c r="B483" s="1">
        <v>1476170</v>
      </c>
      <c r="C483" s="1">
        <v>3841</v>
      </c>
      <c r="D483" s="2">
        <v>42667</v>
      </c>
      <c r="E483" s="1" t="s">
        <v>42</v>
      </c>
      <c r="F483" t="str">
        <f>HYPERLINK("http://www.sec.gov/Archives/edgar/data/1476170/0001193125-16-744130-index.html")</f>
        <v>http://www.sec.gov/Archives/edgar/data/1476170/0001193125-16-744130-index.html</v>
      </c>
    </row>
    <row r="484" spans="1:6" x14ac:dyDescent="0.2">
      <c r="A484" t="s">
        <v>479</v>
      </c>
      <c r="B484" s="1">
        <v>1476170</v>
      </c>
      <c r="C484" s="1">
        <v>3841</v>
      </c>
      <c r="D484" s="2">
        <v>42667</v>
      </c>
      <c r="E484" s="1" t="s">
        <v>18</v>
      </c>
      <c r="F484" t="str">
        <f>HYPERLINK("http://www.sec.gov/Archives/edgar/data/1476170/0001564590-16-025989-index.html")</f>
        <v>http://www.sec.gov/Archives/edgar/data/1476170/0001564590-16-025989-index.html</v>
      </c>
    </row>
    <row r="485" spans="1:6" x14ac:dyDescent="0.2">
      <c r="A485" t="s">
        <v>480</v>
      </c>
      <c r="B485" s="1">
        <v>866787</v>
      </c>
      <c r="C485" s="1">
        <v>5531</v>
      </c>
      <c r="D485" s="2">
        <v>42667</v>
      </c>
      <c r="E485" s="1" t="s">
        <v>18</v>
      </c>
      <c r="F485" t="str">
        <f>HYPERLINK("http://www.sec.gov/Archives/edgar/data/866787/0001193125-16-745160-index.html")</f>
        <v>http://www.sec.gov/Archives/edgar/data/866787/0001193125-16-745160-index.html</v>
      </c>
    </row>
    <row r="486" spans="1:6" x14ac:dyDescent="0.2">
      <c r="A486" t="s">
        <v>481</v>
      </c>
      <c r="B486" s="1">
        <v>1005101</v>
      </c>
      <c r="C486" s="1">
        <v>7389</v>
      </c>
      <c r="D486" s="2">
        <v>42664</v>
      </c>
      <c r="E486" s="1" t="s">
        <v>18</v>
      </c>
      <c r="F486" t="str">
        <f>HYPERLINK("http://www.sec.gov/Archives/edgar/data/1005101/0001654954-16-003000-index.html")</f>
        <v>http://www.sec.gov/Archives/edgar/data/1005101/0001654954-16-003000-index.html</v>
      </c>
    </row>
    <row r="487" spans="1:6" x14ac:dyDescent="0.2">
      <c r="A487" t="s">
        <v>482</v>
      </c>
      <c r="B487" s="1">
        <v>1622408</v>
      </c>
      <c r="C487" s="1">
        <v>6500</v>
      </c>
      <c r="D487" s="2">
        <v>42664</v>
      </c>
      <c r="E487" s="1" t="s">
        <v>18</v>
      </c>
      <c r="F487" t="str">
        <f>HYPERLINK("http://www.sec.gov/Archives/edgar/data/1622408/0001477932-16-013057-index.html")</f>
        <v>http://www.sec.gov/Archives/edgar/data/1622408/0001477932-16-013057-index.html</v>
      </c>
    </row>
    <row r="488" spans="1:6" x14ac:dyDescent="0.2">
      <c r="A488" t="s">
        <v>483</v>
      </c>
      <c r="B488" s="1">
        <v>1023298</v>
      </c>
      <c r="C488" s="1">
        <v>7819</v>
      </c>
      <c r="D488" s="2">
        <v>42663</v>
      </c>
      <c r="E488" s="1" t="s">
        <v>18</v>
      </c>
      <c r="F488" t="str">
        <f>HYPERLINK("http://www.sec.gov/Archives/edgar/data/1023298/0001144204-16-128761-index.html")</f>
        <v>http://www.sec.gov/Archives/edgar/data/1023298/0001144204-16-128761-index.html</v>
      </c>
    </row>
    <row r="489" spans="1:6" x14ac:dyDescent="0.2">
      <c r="A489" t="s">
        <v>484</v>
      </c>
      <c r="B489" s="1">
        <v>1287032</v>
      </c>
      <c r="C489" s="1">
        <v>2834</v>
      </c>
      <c r="D489" s="2">
        <v>42663</v>
      </c>
      <c r="E489" s="1" t="s">
        <v>42</v>
      </c>
      <c r="F489" t="str">
        <f>HYPERLINK("http://www.sec.gov/Archives/edgar/data/1287032/0001287032-16-000661-index.html")</f>
        <v>http://www.sec.gov/Archives/edgar/data/1287032/0001287032-16-000661-index.html</v>
      </c>
    </row>
    <row r="490" spans="1:6" x14ac:dyDescent="0.2">
      <c r="A490" t="s">
        <v>485</v>
      </c>
      <c r="B490" s="1">
        <v>1618921</v>
      </c>
      <c r="C490" s="1">
        <v>5912</v>
      </c>
      <c r="D490" s="2">
        <v>42663</v>
      </c>
      <c r="E490" s="1" t="s">
        <v>18</v>
      </c>
      <c r="F490" t="str">
        <f>HYPERLINK("http://www.sec.gov/Archives/edgar/data/1618921/0001140361-16-083198-index.html")</f>
        <v>http://www.sec.gov/Archives/edgar/data/1618921/0001140361-16-083198-index.html</v>
      </c>
    </row>
    <row r="491" spans="1:6" x14ac:dyDescent="0.2">
      <c r="A491" t="s">
        <v>486</v>
      </c>
      <c r="B491" s="1">
        <v>860518</v>
      </c>
      <c r="C491" s="1">
        <v>7389</v>
      </c>
      <c r="D491" s="2">
        <v>42663</v>
      </c>
      <c r="E491" s="1" t="s">
        <v>18</v>
      </c>
      <c r="F491" t="str">
        <f>HYPERLINK("http://www.sec.gov/Archives/edgar/data/860518/0001144204-16-128738-index.html")</f>
        <v>http://www.sec.gov/Archives/edgar/data/860518/0001144204-16-128738-index.html</v>
      </c>
    </row>
    <row r="492" spans="1:6" x14ac:dyDescent="0.2">
      <c r="A492" t="s">
        <v>487</v>
      </c>
      <c r="B492" s="1">
        <v>898293</v>
      </c>
      <c r="C492" s="1">
        <v>3672</v>
      </c>
      <c r="D492" s="2">
        <v>42663</v>
      </c>
      <c r="E492" s="1" t="s">
        <v>18</v>
      </c>
      <c r="F492" t="str">
        <f>HYPERLINK("http://www.sec.gov/Archives/edgar/data/898293/0001193125-16-742815-index.html")</f>
        <v>http://www.sec.gov/Archives/edgar/data/898293/0001193125-16-742815-index.html</v>
      </c>
    </row>
    <row r="493" spans="1:6" x14ac:dyDescent="0.2">
      <c r="A493" t="s">
        <v>488</v>
      </c>
      <c r="B493" s="1">
        <v>929887</v>
      </c>
      <c r="C493" s="1">
        <v>8200</v>
      </c>
      <c r="D493" s="2">
        <v>42663</v>
      </c>
      <c r="E493" s="1" t="s">
        <v>18</v>
      </c>
      <c r="F493" t="str">
        <f>HYPERLINK("http://www.sec.gov/Archives/edgar/data/929887/0000929887-16-000225-index.html")</f>
        <v>http://www.sec.gov/Archives/edgar/data/929887/0000929887-16-000225-index.html</v>
      </c>
    </row>
    <row r="494" spans="1:6" x14ac:dyDescent="0.2">
      <c r="A494" t="s">
        <v>489</v>
      </c>
      <c r="B494" s="1">
        <v>933972</v>
      </c>
      <c r="C494" s="1">
        <v>3621</v>
      </c>
      <c r="D494" s="2">
        <v>42663</v>
      </c>
      <c r="E494" s="1" t="s">
        <v>42</v>
      </c>
      <c r="F494" t="str">
        <f>HYPERLINK("http://www.sec.gov/Archives/edgar/data/933972/0001575705-16-000187-index.html")</f>
        <v>http://www.sec.gov/Archives/edgar/data/933972/0001575705-16-000187-index.html</v>
      </c>
    </row>
    <row r="495" spans="1:6" x14ac:dyDescent="0.2">
      <c r="A495" t="s">
        <v>490</v>
      </c>
      <c r="B495" s="1">
        <v>1110783</v>
      </c>
      <c r="C495" s="1">
        <v>2870</v>
      </c>
      <c r="D495" s="2">
        <v>42662</v>
      </c>
      <c r="E495" s="1" t="s">
        <v>18</v>
      </c>
      <c r="F495" t="str">
        <f>HYPERLINK("http://www.sec.gov/Archives/edgar/data/1110783/0001110783-16-000532-index.html")</f>
        <v>http://www.sec.gov/Archives/edgar/data/1110783/0001110783-16-000532-index.html</v>
      </c>
    </row>
    <row r="496" spans="1:6" x14ac:dyDescent="0.2">
      <c r="A496" t="s">
        <v>491</v>
      </c>
      <c r="B496" s="1">
        <v>107687</v>
      </c>
      <c r="C496" s="1">
        <v>3716</v>
      </c>
      <c r="D496" s="2">
        <v>42661</v>
      </c>
      <c r="E496" s="1" t="s">
        <v>18</v>
      </c>
      <c r="F496" t="str">
        <f>HYPERLINK("http://www.sec.gov/Archives/edgar/data/107687/0000107687-16-000126-index.html")</f>
        <v>http://www.sec.gov/Archives/edgar/data/107687/0000107687-16-000126-index.html</v>
      </c>
    </row>
    <row r="497" spans="1:6" x14ac:dyDescent="0.2">
      <c r="A497" t="s">
        <v>492</v>
      </c>
      <c r="B497" s="1">
        <v>1375576</v>
      </c>
      <c r="C497" s="1">
        <v>1000</v>
      </c>
      <c r="D497" s="2">
        <v>42661</v>
      </c>
      <c r="E497" s="1" t="s">
        <v>18</v>
      </c>
      <c r="F497" t="str">
        <f>HYPERLINK("http://www.sec.gov/Archives/edgar/data/1375576/0001062993-16-011775-index.html")</f>
        <v>http://www.sec.gov/Archives/edgar/data/1375576/0001062993-16-011775-index.html</v>
      </c>
    </row>
    <row r="498" spans="1:6" x14ac:dyDescent="0.2">
      <c r="A498" t="s">
        <v>493</v>
      </c>
      <c r="B498" s="1">
        <v>1583671</v>
      </c>
      <c r="C498" s="1">
        <v>5122</v>
      </c>
      <c r="D498" s="2">
        <v>42661</v>
      </c>
      <c r="E498" s="1" t="s">
        <v>18</v>
      </c>
      <c r="F498" t="str">
        <f>HYPERLINK("http://www.sec.gov/Archives/edgar/data/1583671/0001640334-16-001820-index.html")</f>
        <v>http://www.sec.gov/Archives/edgar/data/1583671/0001640334-16-001820-index.html</v>
      </c>
    </row>
    <row r="499" spans="1:6" x14ac:dyDescent="0.2">
      <c r="A499" t="s">
        <v>494</v>
      </c>
      <c r="B499" s="1">
        <v>836157</v>
      </c>
      <c r="C499" s="1">
        <v>3523</v>
      </c>
      <c r="D499" s="2">
        <v>42661</v>
      </c>
      <c r="E499" s="1" t="s">
        <v>18</v>
      </c>
      <c r="F499" t="str">
        <f>HYPERLINK("http://www.sec.gov/Archives/edgar/data/836157/0001193125-16-740910-index.html")</f>
        <v>http://www.sec.gov/Archives/edgar/data/836157/0001193125-16-740910-index.html</v>
      </c>
    </row>
    <row r="500" spans="1:6" x14ac:dyDescent="0.2">
      <c r="A500" t="s">
        <v>495</v>
      </c>
      <c r="B500" s="1">
        <v>1326396</v>
      </c>
      <c r="C500" s="1">
        <v>2860</v>
      </c>
      <c r="D500" s="2">
        <v>42660</v>
      </c>
      <c r="E500" s="1" t="s">
        <v>18</v>
      </c>
      <c r="F500" t="str">
        <f>HYPERLINK("http://www.sec.gov/Archives/edgar/data/1326396/0001213900-16-017592-index.html")</f>
        <v>http://www.sec.gov/Archives/edgar/data/1326396/0001213900-16-017592-index.html</v>
      </c>
    </row>
    <row r="501" spans="1:6" x14ac:dyDescent="0.2">
      <c r="A501" t="s">
        <v>496</v>
      </c>
      <c r="B501" s="1">
        <v>1409885</v>
      </c>
      <c r="C501" s="1">
        <v>5960</v>
      </c>
      <c r="D501" s="2">
        <v>42660</v>
      </c>
      <c r="E501" s="1" t="s">
        <v>18</v>
      </c>
      <c r="F501" t="str">
        <f>HYPERLINK("http://www.sec.gov/Archives/edgar/data/1409885/0001493152-16-014097-index.html")</f>
        <v>http://www.sec.gov/Archives/edgar/data/1409885/0001493152-16-014097-index.html</v>
      </c>
    </row>
    <row r="502" spans="1:6" x14ac:dyDescent="0.2">
      <c r="A502" t="s">
        <v>497</v>
      </c>
      <c r="B502" s="1">
        <v>1437517</v>
      </c>
      <c r="C502" s="1">
        <v>7372</v>
      </c>
      <c r="D502" s="2">
        <v>42660</v>
      </c>
      <c r="E502" s="1" t="s">
        <v>42</v>
      </c>
      <c r="F502" t="str">
        <f>HYPERLINK("http://www.sec.gov/Archives/edgar/data/1437517/0001010549-16-000749-index.html")</f>
        <v>http://www.sec.gov/Archives/edgar/data/1437517/0001010549-16-000749-index.html</v>
      </c>
    </row>
    <row r="503" spans="1:6" x14ac:dyDescent="0.2">
      <c r="A503" t="s">
        <v>498</v>
      </c>
      <c r="B503" s="1">
        <v>1604930</v>
      </c>
      <c r="C503" s="1">
        <v>3861</v>
      </c>
      <c r="D503" s="2">
        <v>42660</v>
      </c>
      <c r="E503" s="1" t="s">
        <v>42</v>
      </c>
      <c r="F503" t="str">
        <f>HYPERLINK("http://www.sec.gov/Archives/edgar/data/1604930/0001493152-16-014075-index.html")</f>
        <v>http://www.sec.gov/Archives/edgar/data/1604930/0001493152-16-014075-index.html</v>
      </c>
    </row>
    <row r="504" spans="1:6" x14ac:dyDescent="0.2">
      <c r="A504" t="s">
        <v>499</v>
      </c>
      <c r="B504" s="1">
        <v>1005731</v>
      </c>
      <c r="C504" s="1">
        <v>4813</v>
      </c>
      <c r="D504" s="2">
        <v>42657</v>
      </c>
      <c r="E504" s="1" t="s">
        <v>18</v>
      </c>
      <c r="F504" t="str">
        <f>HYPERLINK("http://www.sec.gov/Archives/edgar/data/1005731/0001213900-16-017511-index.html")</f>
        <v>http://www.sec.gov/Archives/edgar/data/1005731/0001213900-16-017511-index.html</v>
      </c>
    </row>
    <row r="505" spans="1:6" x14ac:dyDescent="0.2">
      <c r="A505" t="s">
        <v>500</v>
      </c>
      <c r="B505" s="1">
        <v>1028215</v>
      </c>
      <c r="C505" s="1">
        <v>2800</v>
      </c>
      <c r="D505" s="2">
        <v>42657</v>
      </c>
      <c r="E505" s="1" t="s">
        <v>18</v>
      </c>
      <c r="F505" t="str">
        <f>HYPERLINK("http://www.sec.gov/Archives/edgar/data/1028215/0001564590-16-025811-index.html")</f>
        <v>http://www.sec.gov/Archives/edgar/data/1028215/0001564590-16-025811-index.html</v>
      </c>
    </row>
    <row r="506" spans="1:6" x14ac:dyDescent="0.2">
      <c r="A506" t="s">
        <v>501</v>
      </c>
      <c r="B506" s="1">
        <v>1068874</v>
      </c>
      <c r="C506" s="1">
        <v>3829</v>
      </c>
      <c r="D506" s="2">
        <v>42657</v>
      </c>
      <c r="E506" s="1" t="s">
        <v>18</v>
      </c>
      <c r="F506" t="str">
        <f>HYPERLINK("http://www.sec.gov/Archives/edgar/data/1068874/0001068874-16-000114-index.html")</f>
        <v>http://www.sec.gov/Archives/edgar/data/1068874/0001068874-16-000114-index.html</v>
      </c>
    </row>
    <row r="507" spans="1:6" x14ac:dyDescent="0.2">
      <c r="A507" t="s">
        <v>502</v>
      </c>
      <c r="B507" s="1">
        <v>1074458</v>
      </c>
      <c r="C507" s="1">
        <v>6021</v>
      </c>
      <c r="D507" s="2">
        <v>42657</v>
      </c>
      <c r="E507" s="1" t="s">
        <v>42</v>
      </c>
      <c r="F507" t="str">
        <f>HYPERLINK("http://www.sec.gov/Archives/edgar/data/1074458/0001520138-16-001214-index.html")</f>
        <v>http://www.sec.gov/Archives/edgar/data/1074458/0001520138-16-001214-index.html</v>
      </c>
    </row>
    <row r="508" spans="1:6" x14ac:dyDescent="0.2">
      <c r="A508" t="s">
        <v>503</v>
      </c>
      <c r="B508" s="1">
        <v>1082733</v>
      </c>
      <c r="C508" s="1">
        <v>4731</v>
      </c>
      <c r="D508" s="2">
        <v>42657</v>
      </c>
      <c r="E508" s="1" t="s">
        <v>42</v>
      </c>
      <c r="F508" t="str">
        <f>HYPERLINK("http://www.sec.gov/Archives/edgar/data/1082733/0001493152-16-014027-index.html")</f>
        <v>http://www.sec.gov/Archives/edgar/data/1082733/0001493152-16-014027-index.html</v>
      </c>
    </row>
    <row r="509" spans="1:6" x14ac:dyDescent="0.2">
      <c r="A509" t="s">
        <v>504</v>
      </c>
      <c r="B509" s="1">
        <v>1142790</v>
      </c>
      <c r="C509" s="1">
        <v>2833</v>
      </c>
      <c r="D509" s="2">
        <v>42657</v>
      </c>
      <c r="E509" s="1" t="s">
        <v>18</v>
      </c>
      <c r="F509" t="str">
        <f>HYPERLINK("http://www.sec.gov/Archives/edgar/data/1142790/0001493152-16-014031-index.html")</f>
        <v>http://www.sec.gov/Archives/edgar/data/1142790/0001493152-16-014031-index.html</v>
      </c>
    </row>
    <row r="510" spans="1:6" x14ac:dyDescent="0.2">
      <c r="A510" t="s">
        <v>505</v>
      </c>
      <c r="B510" s="1">
        <v>1334933</v>
      </c>
      <c r="C510" s="1">
        <v>1090</v>
      </c>
      <c r="D510" s="2">
        <v>42657</v>
      </c>
      <c r="E510" s="1" t="s">
        <v>18</v>
      </c>
      <c r="F510" t="str">
        <f>HYPERLINK("http://www.sec.gov/Archives/edgar/data/1334933/0001279569-16-004485-index.html")</f>
        <v>http://www.sec.gov/Archives/edgar/data/1334933/0001279569-16-004485-index.html</v>
      </c>
    </row>
    <row r="511" spans="1:6" x14ac:dyDescent="0.2">
      <c r="A511" t="s">
        <v>506</v>
      </c>
      <c r="B511" s="1">
        <v>1571919</v>
      </c>
      <c r="C511" s="1">
        <v>8742</v>
      </c>
      <c r="D511" s="2">
        <v>42657</v>
      </c>
      <c r="E511" s="1" t="s">
        <v>42</v>
      </c>
      <c r="F511" t="str">
        <f>HYPERLINK("http://www.sec.gov/Archives/edgar/data/1571919/0001078782-16-003626-index.html")</f>
        <v>http://www.sec.gov/Archives/edgar/data/1571919/0001078782-16-003626-index.html</v>
      </c>
    </row>
    <row r="512" spans="1:6" x14ac:dyDescent="0.2">
      <c r="A512" t="s">
        <v>230</v>
      </c>
      <c r="B512" s="1">
        <v>1580883</v>
      </c>
      <c r="C512" s="1">
        <v>5731</v>
      </c>
      <c r="D512" s="2">
        <v>42657</v>
      </c>
      <c r="E512" s="1" t="s">
        <v>42</v>
      </c>
      <c r="F512" t="str">
        <f>HYPERLINK("http://www.sec.gov/Archives/edgar/data/1580883/0001078782-16-003638-index.html")</f>
        <v>http://www.sec.gov/Archives/edgar/data/1580883/0001078782-16-003638-index.html</v>
      </c>
    </row>
    <row r="513" spans="1:6" x14ac:dyDescent="0.2">
      <c r="A513" t="s">
        <v>498</v>
      </c>
      <c r="B513" s="1">
        <v>1604930</v>
      </c>
      <c r="C513" s="1">
        <v>3861</v>
      </c>
      <c r="D513" s="2">
        <v>42657</v>
      </c>
      <c r="E513" s="1" t="s">
        <v>18</v>
      </c>
      <c r="F513" t="str">
        <f>HYPERLINK("http://www.sec.gov/Archives/edgar/data/1604930/0001493152-16-014059-index.html")</f>
        <v>http://www.sec.gov/Archives/edgar/data/1604930/0001493152-16-014059-index.html</v>
      </c>
    </row>
    <row r="514" spans="1:6" x14ac:dyDescent="0.2">
      <c r="A514" t="s">
        <v>507</v>
      </c>
      <c r="B514" s="1">
        <v>1622676</v>
      </c>
      <c r="C514" s="1">
        <v>5912</v>
      </c>
      <c r="D514" s="2">
        <v>42657</v>
      </c>
      <c r="E514" s="1" t="s">
        <v>18</v>
      </c>
      <c r="F514" t="str">
        <f>HYPERLINK("http://www.sec.gov/Archives/edgar/data/1622676/0001549727-16-000157-index.html")</f>
        <v>http://www.sec.gov/Archives/edgar/data/1622676/0001549727-16-000157-index.html</v>
      </c>
    </row>
    <row r="515" spans="1:6" x14ac:dyDescent="0.2">
      <c r="A515" t="s">
        <v>508</v>
      </c>
      <c r="B515" s="1">
        <v>843212</v>
      </c>
      <c r="C515" s="1">
        <v>1311</v>
      </c>
      <c r="D515" s="2">
        <v>42657</v>
      </c>
      <c r="E515" s="1" t="s">
        <v>18</v>
      </c>
      <c r="F515" t="str">
        <f>HYPERLINK("http://www.sec.gov/Archives/edgar/data/843212/0001477932-16-012963-index.html")</f>
        <v>http://www.sec.gov/Archives/edgar/data/843212/0001477932-16-012963-index.html</v>
      </c>
    </row>
    <row r="516" spans="1:6" x14ac:dyDescent="0.2">
      <c r="A516" t="s">
        <v>509</v>
      </c>
      <c r="B516" s="1">
        <v>914712</v>
      </c>
      <c r="C516" s="1">
        <v>7389</v>
      </c>
      <c r="D516" s="2">
        <v>42657</v>
      </c>
      <c r="E516" s="1" t="s">
        <v>18</v>
      </c>
      <c r="F516" t="str">
        <f>HYPERLINK("http://www.sec.gov/Archives/edgar/data/914712/0001193125-16-738725-index.html")</f>
        <v>http://www.sec.gov/Archives/edgar/data/914712/0001193125-16-738725-index.html</v>
      </c>
    </row>
    <row r="517" spans="1:6" x14ac:dyDescent="0.2">
      <c r="A517" t="s">
        <v>510</v>
      </c>
      <c r="B517" s="1">
        <v>1035354</v>
      </c>
      <c r="C517" s="1">
        <v>8731</v>
      </c>
      <c r="D517" s="2">
        <v>42656</v>
      </c>
      <c r="E517" s="1" t="s">
        <v>18</v>
      </c>
      <c r="F517" t="str">
        <f>HYPERLINK("http://www.sec.gov/Archives/edgar/data/1035354/0001144204-16-128038-index.html")</f>
        <v>http://www.sec.gov/Archives/edgar/data/1035354/0001144204-16-128038-index.html</v>
      </c>
    </row>
    <row r="518" spans="1:6" x14ac:dyDescent="0.2">
      <c r="A518" t="s">
        <v>511</v>
      </c>
      <c r="B518" s="1">
        <v>1067873</v>
      </c>
      <c r="C518" s="1">
        <v>3728</v>
      </c>
      <c r="D518" s="2">
        <v>42656</v>
      </c>
      <c r="E518" s="1" t="s">
        <v>18</v>
      </c>
      <c r="F518" t="str">
        <f>HYPERLINK("http://www.sec.gov/Archives/edgar/data/1067873/0001393905-16-001063-index.html")</f>
        <v>http://www.sec.gov/Archives/edgar/data/1067873/0001393905-16-001063-index.html</v>
      </c>
    </row>
    <row r="519" spans="1:6" x14ac:dyDescent="0.2">
      <c r="A519" t="s">
        <v>503</v>
      </c>
      <c r="B519" s="1">
        <v>1082733</v>
      </c>
      <c r="C519" s="1">
        <v>4731</v>
      </c>
      <c r="D519" s="2">
        <v>42656</v>
      </c>
      <c r="E519" s="1" t="s">
        <v>18</v>
      </c>
      <c r="F519" t="str">
        <f>HYPERLINK("http://www.sec.gov/Archives/edgar/data/1082733/0001493152-16-014009-index.html")</f>
        <v>http://www.sec.gov/Archives/edgar/data/1082733/0001493152-16-014009-index.html</v>
      </c>
    </row>
    <row r="520" spans="1:6" x14ac:dyDescent="0.2">
      <c r="A520" t="s">
        <v>512</v>
      </c>
      <c r="B520" s="1">
        <v>1089319</v>
      </c>
      <c r="C520" s="1">
        <v>3533</v>
      </c>
      <c r="D520" s="2">
        <v>42656</v>
      </c>
      <c r="E520" s="1" t="s">
        <v>18</v>
      </c>
      <c r="F520" t="str">
        <f>HYPERLINK("http://www.sec.gov/Archives/edgar/data/1089319/0001121781-16-000553-index.html")</f>
        <v>http://www.sec.gov/Archives/edgar/data/1089319/0001121781-16-000553-index.html</v>
      </c>
    </row>
    <row r="521" spans="1:6" x14ac:dyDescent="0.2">
      <c r="A521" t="s">
        <v>513</v>
      </c>
      <c r="B521" s="1">
        <v>1104280</v>
      </c>
      <c r="C521" s="1">
        <v>2834</v>
      </c>
      <c r="D521" s="2">
        <v>42656</v>
      </c>
      <c r="E521" s="1" t="s">
        <v>18</v>
      </c>
      <c r="F521" t="str">
        <f>HYPERLINK("http://www.sec.gov/Archives/edgar/data/1104280/0001551163-16-000496-index.html")</f>
        <v>http://www.sec.gov/Archives/edgar/data/1104280/0001551163-16-000496-index.html</v>
      </c>
    </row>
    <row r="522" spans="1:6" x14ac:dyDescent="0.2">
      <c r="A522" t="s">
        <v>514</v>
      </c>
      <c r="B522" s="1">
        <v>1335493</v>
      </c>
      <c r="C522" s="1">
        <v>3651</v>
      </c>
      <c r="D522" s="2">
        <v>42656</v>
      </c>
      <c r="E522" s="1" t="s">
        <v>18</v>
      </c>
      <c r="F522" t="str">
        <f>HYPERLINK("http://www.sec.gov/Archives/edgar/data/1335493/0001213900-16-017493-index.html")</f>
        <v>http://www.sec.gov/Archives/edgar/data/1335493/0001213900-16-017493-index.html</v>
      </c>
    </row>
    <row r="523" spans="1:6" x14ac:dyDescent="0.2">
      <c r="A523" t="s">
        <v>515</v>
      </c>
      <c r="B523" s="1">
        <v>1376793</v>
      </c>
      <c r="C523" s="1">
        <v>700</v>
      </c>
      <c r="D523" s="2">
        <v>42656</v>
      </c>
      <c r="E523" s="1" t="s">
        <v>18</v>
      </c>
      <c r="F523" t="str">
        <f>HYPERLINK("http://www.sec.gov/Archives/edgar/data/1376793/0001144204-16-127985-index.html")</f>
        <v>http://www.sec.gov/Archives/edgar/data/1376793/0001144204-16-127985-index.html</v>
      </c>
    </row>
    <row r="524" spans="1:6" x14ac:dyDescent="0.2">
      <c r="A524" t="s">
        <v>516</v>
      </c>
      <c r="B524" s="1">
        <v>1380277</v>
      </c>
      <c r="C524" s="1">
        <v>7373</v>
      </c>
      <c r="D524" s="2">
        <v>42656</v>
      </c>
      <c r="E524" s="1" t="s">
        <v>18</v>
      </c>
      <c r="F524" t="str">
        <f>HYPERLINK("http://www.sec.gov/Archives/edgar/data/1380277/0001561661-16-000075-index.html")</f>
        <v>http://www.sec.gov/Archives/edgar/data/1380277/0001561661-16-000075-index.html</v>
      </c>
    </row>
    <row r="525" spans="1:6" x14ac:dyDescent="0.2">
      <c r="A525" t="s">
        <v>517</v>
      </c>
      <c r="B525" s="1">
        <v>1387135</v>
      </c>
      <c r="C525" s="1">
        <v>2810</v>
      </c>
      <c r="D525" s="2">
        <v>42656</v>
      </c>
      <c r="E525" s="1" t="s">
        <v>18</v>
      </c>
      <c r="F525" t="str">
        <f>HYPERLINK("http://www.sec.gov/Archives/edgar/data/1387135/0001493152-16-013986-index.html")</f>
        <v>http://www.sec.gov/Archives/edgar/data/1387135/0001493152-16-013986-index.html</v>
      </c>
    </row>
    <row r="526" spans="1:6" x14ac:dyDescent="0.2">
      <c r="A526" t="s">
        <v>518</v>
      </c>
      <c r="B526" s="1">
        <v>1420720</v>
      </c>
      <c r="C526" s="1">
        <v>2834</v>
      </c>
      <c r="D526" s="2">
        <v>42656</v>
      </c>
      <c r="E526" s="1" t="s">
        <v>18</v>
      </c>
      <c r="F526" t="str">
        <f>HYPERLINK("http://www.sec.gov/Archives/edgar/data/1420720/0001144204-16-127993-index.html")</f>
        <v>http://www.sec.gov/Archives/edgar/data/1420720/0001144204-16-127993-index.html</v>
      </c>
    </row>
    <row r="527" spans="1:6" x14ac:dyDescent="0.2">
      <c r="A527" t="s">
        <v>519</v>
      </c>
      <c r="B527" s="1">
        <v>1443089</v>
      </c>
      <c r="C527" s="1">
        <v>3669</v>
      </c>
      <c r="D527" s="2">
        <v>42656</v>
      </c>
      <c r="E527" s="1" t="s">
        <v>18</v>
      </c>
      <c r="F527" t="str">
        <f>HYPERLINK("http://www.sec.gov/Archives/edgar/data/1443089/0001520138-16-001212-index.html")</f>
        <v>http://www.sec.gov/Archives/edgar/data/1443089/0001520138-16-001212-index.html</v>
      </c>
    </row>
    <row r="528" spans="1:6" x14ac:dyDescent="0.2">
      <c r="A528" t="s">
        <v>520</v>
      </c>
      <c r="B528" s="1">
        <v>1444307</v>
      </c>
      <c r="C528" s="1">
        <v>2834</v>
      </c>
      <c r="D528" s="2">
        <v>42656</v>
      </c>
      <c r="E528" s="1" t="s">
        <v>18</v>
      </c>
      <c r="F528" t="str">
        <f>HYPERLINK("http://www.sec.gov/Archives/edgar/data/1444307/0001493152-16-013999-index.html")</f>
        <v>http://www.sec.gov/Archives/edgar/data/1444307/0001493152-16-013999-index.html</v>
      </c>
    </row>
    <row r="529" spans="1:6" x14ac:dyDescent="0.2">
      <c r="A529" t="s">
        <v>521</v>
      </c>
      <c r="B529" s="1">
        <v>1515718</v>
      </c>
      <c r="C529" s="1">
        <v>2111</v>
      </c>
      <c r="D529" s="2">
        <v>42656</v>
      </c>
      <c r="E529" s="1" t="s">
        <v>18</v>
      </c>
      <c r="F529" t="str">
        <f>HYPERLINK("http://www.sec.gov/Archives/edgar/data/1515718/0001511164-16-001073-index.html")</f>
        <v>http://www.sec.gov/Archives/edgar/data/1515718/0001511164-16-001073-index.html</v>
      </c>
    </row>
    <row r="530" spans="1:6" x14ac:dyDescent="0.2">
      <c r="A530" t="s">
        <v>522</v>
      </c>
      <c r="B530" s="1">
        <v>1527702</v>
      </c>
      <c r="C530" s="1">
        <v>2840</v>
      </c>
      <c r="D530" s="2">
        <v>42656</v>
      </c>
      <c r="E530" s="1" t="s">
        <v>18</v>
      </c>
      <c r="F530" t="str">
        <f>HYPERLINK("http://www.sec.gov/Archives/edgar/data/1527702/0001078782-16-003613-index.html")</f>
        <v>http://www.sec.gov/Archives/edgar/data/1527702/0001078782-16-003613-index.html</v>
      </c>
    </row>
    <row r="531" spans="1:6" x14ac:dyDescent="0.2">
      <c r="A531" t="s">
        <v>523</v>
      </c>
      <c r="B531" s="1">
        <v>1574460</v>
      </c>
      <c r="C531" s="1">
        <v>4812</v>
      </c>
      <c r="D531" s="2">
        <v>42656</v>
      </c>
      <c r="E531" s="1" t="s">
        <v>18</v>
      </c>
      <c r="F531" t="str">
        <f>HYPERLINK("http://www.sec.gov/Archives/edgar/data/1574460/0001213900-16-017495-index.html")</f>
        <v>http://www.sec.gov/Archives/edgar/data/1574460/0001213900-16-017495-index.html</v>
      </c>
    </row>
    <row r="532" spans="1:6" x14ac:dyDescent="0.2">
      <c r="A532" t="s">
        <v>230</v>
      </c>
      <c r="B532" s="1">
        <v>1580883</v>
      </c>
      <c r="C532" s="1">
        <v>5731</v>
      </c>
      <c r="D532" s="2">
        <v>42656</v>
      </c>
      <c r="E532" s="1" t="s">
        <v>18</v>
      </c>
      <c r="F532" t="str">
        <f>HYPERLINK("http://www.sec.gov/Archives/edgar/data/1580883/0001078782-16-003617-index.html")</f>
        <v>http://www.sec.gov/Archives/edgar/data/1580883/0001078782-16-003617-index.html</v>
      </c>
    </row>
    <row r="533" spans="1:6" x14ac:dyDescent="0.2">
      <c r="A533" t="s">
        <v>524</v>
      </c>
      <c r="B533" s="1">
        <v>1586372</v>
      </c>
      <c r="C533" s="1">
        <v>3420</v>
      </c>
      <c r="D533" s="2">
        <v>42656</v>
      </c>
      <c r="E533" s="1" t="s">
        <v>18</v>
      </c>
      <c r="F533" t="str">
        <f>HYPERLINK("http://www.sec.gov/Archives/edgar/data/1586372/0001683168-16-000318-index.html")</f>
        <v>http://www.sec.gov/Archives/edgar/data/1586372/0001683168-16-000318-index.html</v>
      </c>
    </row>
    <row r="534" spans="1:6" x14ac:dyDescent="0.2">
      <c r="A534" t="s">
        <v>525</v>
      </c>
      <c r="B534" s="1">
        <v>1624025</v>
      </c>
      <c r="C534" s="1">
        <v>1531</v>
      </c>
      <c r="D534" s="2">
        <v>42656</v>
      </c>
      <c r="E534" s="1" t="s">
        <v>18</v>
      </c>
      <c r="F534" t="str">
        <f>HYPERLINK("http://www.sec.gov/Archives/edgar/data/1624025/0001010549-16-000743-index.html")</f>
        <v>http://www.sec.gov/Archives/edgar/data/1624025/0001010549-16-000743-index.html</v>
      </c>
    </row>
    <row r="535" spans="1:6" x14ac:dyDescent="0.2">
      <c r="A535" t="s">
        <v>526</v>
      </c>
      <c r="B535" s="1">
        <v>1641631</v>
      </c>
      <c r="C535" s="1">
        <v>7372</v>
      </c>
      <c r="D535" s="2">
        <v>42656</v>
      </c>
      <c r="E535" s="1" t="s">
        <v>18</v>
      </c>
      <c r="F535" t="str">
        <f>HYPERLINK("http://www.sec.gov/Archives/edgar/data/1641631/0001078782-16-003604-index.html")</f>
        <v>http://www.sec.gov/Archives/edgar/data/1641631/0001078782-16-003604-index.html</v>
      </c>
    </row>
    <row r="536" spans="1:6" x14ac:dyDescent="0.2">
      <c r="A536" t="s">
        <v>527</v>
      </c>
      <c r="B536" s="1">
        <v>1643988</v>
      </c>
      <c r="C536" s="1">
        <v>7363</v>
      </c>
      <c r="D536" s="2">
        <v>42656</v>
      </c>
      <c r="E536" s="1" t="s">
        <v>18</v>
      </c>
      <c r="F536" t="str">
        <f>HYPERLINK("http://www.sec.gov/Archives/edgar/data/1643988/0001393905-16-001060-index.html")</f>
        <v>http://www.sec.gov/Archives/edgar/data/1643988/0001393905-16-001060-index.html</v>
      </c>
    </row>
    <row r="537" spans="1:6" x14ac:dyDescent="0.2">
      <c r="A537" t="s">
        <v>528</v>
      </c>
      <c r="B537" s="1">
        <v>316253</v>
      </c>
      <c r="C537" s="1">
        <v>8071</v>
      </c>
      <c r="D537" s="2">
        <v>42656</v>
      </c>
      <c r="E537" s="1" t="s">
        <v>18</v>
      </c>
      <c r="F537" t="str">
        <f>HYPERLINK("http://www.sec.gov/Archives/edgar/data/316253/0000930413-16-008464-index.html")</f>
        <v>http://www.sec.gov/Archives/edgar/data/316253/0000930413-16-008464-index.html</v>
      </c>
    </row>
    <row r="538" spans="1:6" x14ac:dyDescent="0.2">
      <c r="A538" t="s">
        <v>529</v>
      </c>
      <c r="B538" s="1">
        <v>704172</v>
      </c>
      <c r="C538" s="1">
        <v>8741</v>
      </c>
      <c r="D538" s="2">
        <v>42656</v>
      </c>
      <c r="E538" s="1" t="s">
        <v>18</v>
      </c>
      <c r="F538" t="str">
        <f>HYPERLINK("http://www.sec.gov/Archives/edgar/data/704172/0001493152-16-014007-index.html")</f>
        <v>http://www.sec.gov/Archives/edgar/data/704172/0001493152-16-014007-index.html</v>
      </c>
    </row>
    <row r="539" spans="1:6" x14ac:dyDescent="0.2">
      <c r="A539" t="s">
        <v>530</v>
      </c>
      <c r="B539" s="1">
        <v>836937</v>
      </c>
      <c r="C539" s="1">
        <v>6770</v>
      </c>
      <c r="D539" s="2">
        <v>42656</v>
      </c>
      <c r="E539" s="1" t="s">
        <v>18</v>
      </c>
      <c r="F539" t="str">
        <f>HYPERLINK("http://www.sec.gov/Archives/edgar/data/836937/0001076542-16-000420-index.html")</f>
        <v>http://www.sec.gov/Archives/edgar/data/836937/0001076542-16-000420-index.html</v>
      </c>
    </row>
    <row r="540" spans="1:6" x14ac:dyDescent="0.2">
      <c r="A540" t="s">
        <v>531</v>
      </c>
      <c r="B540" s="1">
        <v>921560</v>
      </c>
      <c r="C540" s="1">
        <v>6770</v>
      </c>
      <c r="D540" s="2">
        <v>42656</v>
      </c>
      <c r="E540" s="1" t="s">
        <v>18</v>
      </c>
      <c r="F540" t="str">
        <f>HYPERLINK("http://www.sec.gov/Archives/edgar/data/921560/0001553350-16-002534-index.html")</f>
        <v>http://www.sec.gov/Archives/edgar/data/921560/0001553350-16-002534-index.html</v>
      </c>
    </row>
    <row r="541" spans="1:6" x14ac:dyDescent="0.2">
      <c r="A541" t="s">
        <v>532</v>
      </c>
      <c r="B541" s="1">
        <v>103595</v>
      </c>
      <c r="C541" s="1">
        <v>5411</v>
      </c>
      <c r="D541" s="2">
        <v>42655</v>
      </c>
      <c r="E541" s="1" t="s">
        <v>18</v>
      </c>
      <c r="F541" t="str">
        <f>HYPERLINK("http://www.sec.gov/Archives/edgar/data/103595/0000103595-16-000036-index.html")</f>
        <v>http://www.sec.gov/Archives/edgar/data/103595/0000103595-16-000036-index.html</v>
      </c>
    </row>
    <row r="542" spans="1:6" x14ac:dyDescent="0.2">
      <c r="A542" t="s">
        <v>502</v>
      </c>
      <c r="B542" s="1">
        <v>1074458</v>
      </c>
      <c r="C542" s="1">
        <v>6021</v>
      </c>
      <c r="D542" s="2">
        <v>42655</v>
      </c>
      <c r="E542" s="1" t="s">
        <v>18</v>
      </c>
      <c r="F542" t="str">
        <f>HYPERLINK("http://www.sec.gov/Archives/edgar/data/1074458/0001520138-16-001207-index.html")</f>
        <v>http://www.sec.gov/Archives/edgar/data/1074458/0001520138-16-001207-index.html</v>
      </c>
    </row>
    <row r="543" spans="1:6" x14ac:dyDescent="0.2">
      <c r="A543" t="s">
        <v>533</v>
      </c>
      <c r="B543" s="1">
        <v>1178104</v>
      </c>
      <c r="C543" s="1">
        <v>3841</v>
      </c>
      <c r="D543" s="2">
        <v>42655</v>
      </c>
      <c r="E543" s="1" t="s">
        <v>18</v>
      </c>
      <c r="F543" t="str">
        <f>HYPERLINK("http://www.sec.gov/Archives/edgar/data/1178104/0001437749-16-039759-index.html")</f>
        <v>http://www.sec.gov/Archives/edgar/data/1178104/0001437749-16-039759-index.html</v>
      </c>
    </row>
    <row r="544" spans="1:6" x14ac:dyDescent="0.2">
      <c r="A544" t="s">
        <v>534</v>
      </c>
      <c r="B544" s="1">
        <v>725876</v>
      </c>
      <c r="C544" s="1">
        <v>7370</v>
      </c>
      <c r="D544" s="2">
        <v>42655</v>
      </c>
      <c r="E544" s="1" t="s">
        <v>18</v>
      </c>
      <c r="F544" t="str">
        <f>HYPERLINK("http://www.sec.gov/Archives/edgar/data/725876/0000725876-16-000133-index.html")</f>
        <v>http://www.sec.gov/Archives/edgar/data/725876/0000725876-16-000133-index.html</v>
      </c>
    </row>
    <row r="545" spans="1:6" x14ac:dyDescent="0.2">
      <c r="A545" t="s">
        <v>535</v>
      </c>
      <c r="B545" s="1">
        <v>862668</v>
      </c>
      <c r="C545" s="1">
        <v>3845</v>
      </c>
      <c r="D545" s="2">
        <v>42655</v>
      </c>
      <c r="E545" s="1" t="s">
        <v>18</v>
      </c>
      <c r="F545" t="str">
        <f>HYPERLINK("http://www.sec.gov/Archives/edgar/data/862668/0000862668-16-000043-index.html")</f>
        <v>http://www.sec.gov/Archives/edgar/data/862668/0000862668-16-000043-index.html</v>
      </c>
    </row>
    <row r="546" spans="1:6" x14ac:dyDescent="0.2">
      <c r="A546" t="s">
        <v>536</v>
      </c>
      <c r="B546" s="1">
        <v>909832</v>
      </c>
      <c r="C546" s="1">
        <v>5331</v>
      </c>
      <c r="D546" s="2">
        <v>42655</v>
      </c>
      <c r="E546" s="1" t="s">
        <v>18</v>
      </c>
      <c r="F546" t="str">
        <f>HYPERLINK("http://www.sec.gov/Archives/edgar/data/909832/0000909832-16-000032-index.html")</f>
        <v>http://www.sec.gov/Archives/edgar/data/909832/0000909832-16-000032-index.html</v>
      </c>
    </row>
    <row r="547" spans="1:6" x14ac:dyDescent="0.2">
      <c r="A547" t="s">
        <v>537</v>
      </c>
      <c r="B547" s="1">
        <v>1040721</v>
      </c>
      <c r="C547" s="1">
        <v>1000</v>
      </c>
      <c r="D547" s="2">
        <v>42654</v>
      </c>
      <c r="E547" s="1" t="s">
        <v>18</v>
      </c>
      <c r="F547" t="str">
        <f>HYPERLINK("http://www.sec.gov/Archives/edgar/data/1040721/0001493152-16-013927-index.html")</f>
        <v>http://www.sec.gov/Archives/edgar/data/1040721/0001493152-16-013927-index.html</v>
      </c>
    </row>
    <row r="548" spans="1:6" x14ac:dyDescent="0.2">
      <c r="A548" t="s">
        <v>502</v>
      </c>
      <c r="B548" s="1">
        <v>1074458</v>
      </c>
      <c r="C548" s="1">
        <v>6021</v>
      </c>
      <c r="D548" s="2">
        <v>42654</v>
      </c>
      <c r="E548" s="1" t="s">
        <v>18</v>
      </c>
      <c r="F548" t="str">
        <f>HYPERLINK("http://www.sec.gov/Archives/edgar/data/1074458/0001520138-16-001198-index.html")</f>
        <v>http://www.sec.gov/Archives/edgar/data/1074458/0001520138-16-001198-index.html</v>
      </c>
    </row>
    <row r="549" spans="1:6" x14ac:dyDescent="0.2">
      <c r="A549" t="s">
        <v>502</v>
      </c>
      <c r="B549" s="1">
        <v>1074458</v>
      </c>
      <c r="C549" s="1">
        <v>6021</v>
      </c>
      <c r="D549" s="2">
        <v>42654</v>
      </c>
      <c r="E549" s="1" t="s">
        <v>18</v>
      </c>
      <c r="F549" t="str">
        <f>HYPERLINK("http://www.sec.gov/Archives/edgar/data/1074458/0001520138-16-001202-index.html")</f>
        <v>http://www.sec.gov/Archives/edgar/data/1074458/0001520138-16-001202-index.html</v>
      </c>
    </row>
    <row r="550" spans="1:6" x14ac:dyDescent="0.2">
      <c r="A550" t="s">
        <v>538</v>
      </c>
      <c r="B550" s="1">
        <v>1435812</v>
      </c>
      <c r="C550" s="1">
        <v>7200</v>
      </c>
      <c r="D550" s="2">
        <v>42654</v>
      </c>
      <c r="E550" s="1" t="s">
        <v>18</v>
      </c>
      <c r="F550" t="str">
        <f>HYPERLINK("http://www.sec.gov/Archives/edgar/data/1435812/0001052918-16-001320-index.html")</f>
        <v>http://www.sec.gov/Archives/edgar/data/1435812/0001052918-16-001320-index.html</v>
      </c>
    </row>
    <row r="551" spans="1:6" x14ac:dyDescent="0.2">
      <c r="A551" t="s">
        <v>539</v>
      </c>
      <c r="B551" s="1">
        <v>1528308</v>
      </c>
      <c r="C551" s="1">
        <v>3841</v>
      </c>
      <c r="D551" s="2">
        <v>42654</v>
      </c>
      <c r="E551" s="1" t="s">
        <v>18</v>
      </c>
      <c r="F551" t="str">
        <f>HYPERLINK("http://www.sec.gov/Archives/edgar/data/1528308/0001214659-16-014070-index.html")</f>
        <v>http://www.sec.gov/Archives/edgar/data/1528308/0001214659-16-014070-index.html</v>
      </c>
    </row>
    <row r="552" spans="1:6" x14ac:dyDescent="0.2">
      <c r="A552" t="s">
        <v>540</v>
      </c>
      <c r="B552" s="1">
        <v>78311</v>
      </c>
      <c r="C552" s="1">
        <v>4841</v>
      </c>
      <c r="D552" s="2">
        <v>42654</v>
      </c>
      <c r="E552" s="1" t="s">
        <v>18</v>
      </c>
      <c r="F552" t="str">
        <f>HYPERLINK("http://www.sec.gov/Archives/edgar/data/78311/0001091818-16-000378-index.html")</f>
        <v>http://www.sec.gov/Archives/edgar/data/78311/0001091818-16-000378-index.html</v>
      </c>
    </row>
    <row r="553" spans="1:6" x14ac:dyDescent="0.2">
      <c r="A553" t="s">
        <v>541</v>
      </c>
      <c r="B553" s="1">
        <v>87802</v>
      </c>
      <c r="C553" s="1">
        <v>3826</v>
      </c>
      <c r="D553" s="2">
        <v>42654</v>
      </c>
      <c r="E553" s="1" t="s">
        <v>18</v>
      </c>
      <c r="F553" t="str">
        <f>HYPERLINK("http://www.sec.gov/Archives/edgar/data/87802/0000087802-16-000019-index.html")</f>
        <v>http://www.sec.gov/Archives/edgar/data/87802/0000087802-16-000019-index.html</v>
      </c>
    </row>
    <row r="554" spans="1:6" x14ac:dyDescent="0.2">
      <c r="A554" t="s">
        <v>542</v>
      </c>
      <c r="B554" s="1">
        <v>1324772</v>
      </c>
      <c r="C554" s="1">
        <v>7372</v>
      </c>
      <c r="D554" s="2">
        <v>42650</v>
      </c>
      <c r="E554" s="1" t="s">
        <v>18</v>
      </c>
      <c r="F554" t="str">
        <f>HYPERLINK("http://www.sec.gov/Archives/edgar/data/1324772/0001628280-16-019998-index.html")</f>
        <v>http://www.sec.gov/Archives/edgar/data/1324772/0001628280-16-019998-index.html</v>
      </c>
    </row>
    <row r="555" spans="1:6" x14ac:dyDescent="0.2">
      <c r="A555" t="s">
        <v>543</v>
      </c>
      <c r="B555" s="1">
        <v>1334699</v>
      </c>
      <c r="C555" s="1">
        <v>1400</v>
      </c>
      <c r="D555" s="2">
        <v>42650</v>
      </c>
      <c r="E555" s="1" t="s">
        <v>18</v>
      </c>
      <c r="F555" t="str">
        <f>HYPERLINK("http://www.sec.gov/Archives/edgar/data/1334699/0001144204-16-127386-index.html")</f>
        <v>http://www.sec.gov/Archives/edgar/data/1334699/0001144204-16-127386-index.html</v>
      </c>
    </row>
    <row r="556" spans="1:6" x14ac:dyDescent="0.2">
      <c r="A556" t="s">
        <v>544</v>
      </c>
      <c r="B556" s="1">
        <v>1422768</v>
      </c>
      <c r="C556" s="1">
        <v>5600</v>
      </c>
      <c r="D556" s="2">
        <v>42650</v>
      </c>
      <c r="E556" s="1" t="s">
        <v>18</v>
      </c>
      <c r="F556" t="str">
        <f>HYPERLINK("http://www.sec.gov/Archives/edgar/data/1422768/0001640334-16-001777-index.html")</f>
        <v>http://www.sec.gov/Archives/edgar/data/1422768/0001640334-16-001777-index.html</v>
      </c>
    </row>
    <row r="557" spans="1:6" x14ac:dyDescent="0.2">
      <c r="A557" t="s">
        <v>545</v>
      </c>
      <c r="B557" s="1">
        <v>1463959</v>
      </c>
      <c r="C557" s="1">
        <v>2844</v>
      </c>
      <c r="D557" s="2">
        <v>42650</v>
      </c>
      <c r="E557" s="1" t="s">
        <v>18</v>
      </c>
      <c r="F557" t="str">
        <f>HYPERLINK("http://www.sec.gov/Archives/edgar/data/1463959/0001214659-16-014024-index.html")</f>
        <v>http://www.sec.gov/Archives/edgar/data/1463959/0001214659-16-014024-index.html</v>
      </c>
    </row>
    <row r="558" spans="1:6" x14ac:dyDescent="0.2">
      <c r="A558" t="s">
        <v>546</v>
      </c>
      <c r="B558" s="1">
        <v>1581545</v>
      </c>
      <c r="C558" s="1">
        <v>2741</v>
      </c>
      <c r="D558" s="2">
        <v>42650</v>
      </c>
      <c r="E558" s="1" t="s">
        <v>18</v>
      </c>
      <c r="F558" t="str">
        <f>HYPERLINK("http://www.sec.gov/Archives/edgar/data/1581545/0001683168-16-000265-index.html")</f>
        <v>http://www.sec.gov/Archives/edgar/data/1581545/0001683168-16-000265-index.html</v>
      </c>
    </row>
    <row r="559" spans="1:6" x14ac:dyDescent="0.2">
      <c r="A559" t="s">
        <v>547</v>
      </c>
      <c r="B559" s="1">
        <v>74046</v>
      </c>
      <c r="C559" s="1">
        <v>3990</v>
      </c>
      <c r="D559" s="2">
        <v>42650</v>
      </c>
      <c r="E559" s="1" t="s">
        <v>18</v>
      </c>
      <c r="F559" t="str">
        <f>HYPERLINK("http://www.sec.gov/Archives/edgar/data/74046/0000074046-16-000094-index.html")</f>
        <v>http://www.sec.gov/Archives/edgar/data/74046/0000074046-16-000094-index.html</v>
      </c>
    </row>
    <row r="560" spans="1:6" x14ac:dyDescent="0.2">
      <c r="A560" t="s">
        <v>548</v>
      </c>
      <c r="B560" s="1">
        <v>857949</v>
      </c>
      <c r="C560" s="1">
        <v>2870</v>
      </c>
      <c r="D560" s="2">
        <v>42650</v>
      </c>
      <c r="E560" s="1" t="s">
        <v>18</v>
      </c>
      <c r="F560" t="str">
        <f>HYPERLINK("http://www.sec.gov/Archives/edgar/data/857949/0001213900-16-017365-index.html")</f>
        <v>http://www.sec.gov/Archives/edgar/data/857949/0001213900-16-017365-index.html</v>
      </c>
    </row>
    <row r="561" spans="1:6" x14ac:dyDescent="0.2">
      <c r="A561" t="s">
        <v>549</v>
      </c>
      <c r="B561" s="1">
        <v>1409446</v>
      </c>
      <c r="C561" s="1">
        <v>2040</v>
      </c>
      <c r="D561" s="2">
        <v>42649</v>
      </c>
      <c r="E561" s="1" t="s">
        <v>18</v>
      </c>
      <c r="F561" t="str">
        <f>HYPERLINK("http://www.sec.gov/Archives/edgar/data/1409446/0001640334-16-001767-index.html")</f>
        <v>http://www.sec.gov/Archives/edgar/data/1409446/0001640334-16-001767-index.html</v>
      </c>
    </row>
    <row r="562" spans="1:6" x14ac:dyDescent="0.2">
      <c r="A562" t="s">
        <v>550</v>
      </c>
      <c r="B562" s="1">
        <v>1517130</v>
      </c>
      <c r="C562" s="1">
        <v>900</v>
      </c>
      <c r="D562" s="2">
        <v>42649</v>
      </c>
      <c r="E562" s="1" t="s">
        <v>42</v>
      </c>
      <c r="F562" t="str">
        <f>HYPERLINK("http://www.sec.gov/Archives/edgar/data/1517130/0001213900-16-017331-index.html")</f>
        <v>http://www.sec.gov/Archives/edgar/data/1517130/0001213900-16-017331-index.html</v>
      </c>
    </row>
    <row r="563" spans="1:6" x14ac:dyDescent="0.2">
      <c r="A563" t="s">
        <v>551</v>
      </c>
      <c r="B563" s="1">
        <v>1522222</v>
      </c>
      <c r="C563" s="1">
        <v>5900</v>
      </c>
      <c r="D563" s="2">
        <v>42649</v>
      </c>
      <c r="E563" s="1" t="s">
        <v>42</v>
      </c>
      <c r="F563" t="str">
        <f>HYPERLINK("http://www.sec.gov/Archives/edgar/data/1522222/0001185185-16-005546-index.html")</f>
        <v>http://www.sec.gov/Archives/edgar/data/1522222/0001185185-16-005546-index.html</v>
      </c>
    </row>
    <row r="564" spans="1:6" x14ac:dyDescent="0.2">
      <c r="A564" t="s">
        <v>552</v>
      </c>
      <c r="B564" s="1">
        <v>23197</v>
      </c>
      <c r="C564" s="1">
        <v>3663</v>
      </c>
      <c r="D564" s="2">
        <v>42649</v>
      </c>
      <c r="E564" s="1" t="s">
        <v>18</v>
      </c>
      <c r="F564" t="str">
        <f>HYPERLINK("http://www.sec.gov/Archives/edgar/data/23197/0000023197-16-000074-index.html")</f>
        <v>http://www.sec.gov/Archives/edgar/data/23197/0000023197-16-000074-index.html</v>
      </c>
    </row>
    <row r="565" spans="1:6" x14ac:dyDescent="0.2">
      <c r="A565" t="s">
        <v>553</v>
      </c>
      <c r="B565" s="1">
        <v>54187</v>
      </c>
      <c r="C565" s="1">
        <v>6512</v>
      </c>
      <c r="D565" s="2">
        <v>42649</v>
      </c>
      <c r="E565" s="1" t="s">
        <v>18</v>
      </c>
      <c r="F565" t="str">
        <f>HYPERLINK("http://www.sec.gov/Archives/edgar/data/54187/0001206774-16-007318-index.html")</f>
        <v>http://www.sec.gov/Archives/edgar/data/54187/0001206774-16-007318-index.html</v>
      </c>
    </row>
    <row r="566" spans="1:6" x14ac:dyDescent="0.2">
      <c r="A566" t="s">
        <v>554</v>
      </c>
      <c r="B566" s="1">
        <v>1060426</v>
      </c>
      <c r="C566" s="1">
        <v>2834</v>
      </c>
      <c r="D566" s="2">
        <v>42648</v>
      </c>
      <c r="E566" s="1" t="s">
        <v>18</v>
      </c>
      <c r="F566" t="str">
        <f>HYPERLINK("http://www.sec.gov/Archives/edgar/data/1060426/0001096906-16-001934-index.html")</f>
        <v>http://www.sec.gov/Archives/edgar/data/1060426/0001096906-16-001934-index.html</v>
      </c>
    </row>
    <row r="567" spans="1:6" x14ac:dyDescent="0.2">
      <c r="A567" t="s">
        <v>555</v>
      </c>
      <c r="B567" s="1">
        <v>1399306</v>
      </c>
      <c r="C567" s="1">
        <v>1040</v>
      </c>
      <c r="D567" s="2">
        <v>42648</v>
      </c>
      <c r="E567" s="1" t="s">
        <v>42</v>
      </c>
      <c r="F567" t="str">
        <f>HYPERLINK("http://www.sec.gov/Archives/edgar/data/1399306/0001594062-16-000627-index.html")</f>
        <v>http://www.sec.gov/Archives/edgar/data/1399306/0001594062-16-000627-index.html</v>
      </c>
    </row>
    <row r="568" spans="1:6" x14ac:dyDescent="0.2">
      <c r="A568" t="s">
        <v>556</v>
      </c>
      <c r="B568" s="1">
        <v>1526689</v>
      </c>
      <c r="C568" s="1">
        <v>3580</v>
      </c>
      <c r="D568" s="2">
        <v>42648</v>
      </c>
      <c r="E568" s="1" t="s">
        <v>18</v>
      </c>
      <c r="F568" t="str">
        <f>HYPERLINK("http://www.sec.gov/Archives/edgar/data/1526689/0001640334-16-001762-index.html")</f>
        <v>http://www.sec.gov/Archives/edgar/data/1526689/0001640334-16-001762-index.html</v>
      </c>
    </row>
    <row r="569" spans="1:6" x14ac:dyDescent="0.2">
      <c r="A569" t="s">
        <v>557</v>
      </c>
      <c r="B569" s="1">
        <v>1517498</v>
      </c>
      <c r="C569" s="1">
        <v>5122</v>
      </c>
      <c r="D569" s="2">
        <v>42647</v>
      </c>
      <c r="E569" s="1" t="s">
        <v>18</v>
      </c>
      <c r="F569" t="str">
        <f>HYPERLINK("http://www.sec.gov/Archives/edgar/data/1517498/0001477932-16-012793-index.html")</f>
        <v>http://www.sec.gov/Archives/edgar/data/1517498/0001477932-16-012793-index.html</v>
      </c>
    </row>
    <row r="570" spans="1:6" x14ac:dyDescent="0.2">
      <c r="A570" t="s">
        <v>345</v>
      </c>
      <c r="B570" s="1">
        <v>1619055</v>
      </c>
      <c r="C570" s="1">
        <v>2030</v>
      </c>
      <c r="D570" s="2">
        <v>42647</v>
      </c>
      <c r="E570" s="1" t="s">
        <v>18</v>
      </c>
      <c r="F570" t="str">
        <f>HYPERLINK("http://www.sec.gov/Archives/edgar/data/1619055/0001477932-16-012801-index.html")</f>
        <v>http://www.sec.gov/Archives/edgar/data/1619055/0001477932-16-012801-index.html</v>
      </c>
    </row>
    <row r="571" spans="1:6" x14ac:dyDescent="0.2">
      <c r="A571" t="s">
        <v>558</v>
      </c>
      <c r="B571" s="1">
        <v>1670869</v>
      </c>
      <c r="C571" s="1">
        <v>2080</v>
      </c>
      <c r="D571" s="2">
        <v>42647</v>
      </c>
      <c r="E571" s="1" t="s">
        <v>18</v>
      </c>
      <c r="F571" t="str">
        <f>HYPERLINK("http://www.sec.gov/Archives/edgar/data/1670869/0001663577-16-000330-index.html")</f>
        <v>http://www.sec.gov/Archives/edgar/data/1670869/0001663577-16-000330-index.html</v>
      </c>
    </row>
    <row r="572" spans="1:6" x14ac:dyDescent="0.2">
      <c r="A572" t="s">
        <v>559</v>
      </c>
      <c r="B572" s="1">
        <v>1450390</v>
      </c>
      <c r="C572" s="1">
        <v>1311</v>
      </c>
      <c r="D572" s="2">
        <v>42646</v>
      </c>
      <c r="E572" s="1" t="s">
        <v>18</v>
      </c>
      <c r="F572" t="str">
        <f>HYPERLINK("http://www.sec.gov/Archives/edgar/data/1450390/0001206774-16-007301-index.html")</f>
        <v>http://www.sec.gov/Archives/edgar/data/1450390/0001206774-16-007301-index.html</v>
      </c>
    </row>
    <row r="573" spans="1:6" x14ac:dyDescent="0.2">
      <c r="A573" t="s">
        <v>560</v>
      </c>
      <c r="B573" s="1">
        <v>1553788</v>
      </c>
      <c r="C573" s="1">
        <v>8082</v>
      </c>
      <c r="D573" s="2">
        <v>42646</v>
      </c>
      <c r="E573" s="1" t="s">
        <v>18</v>
      </c>
      <c r="F573" t="str">
        <f>HYPERLINK("http://www.sec.gov/Archives/edgar/data/1553788/0001079973-16-001203-index.html")</f>
        <v>http://www.sec.gov/Archives/edgar/data/1553788/0001079973-16-001203-index.html</v>
      </c>
    </row>
    <row r="574" spans="1:6" x14ac:dyDescent="0.2">
      <c r="A574" t="s">
        <v>561</v>
      </c>
      <c r="B574" s="1">
        <v>1574969</v>
      </c>
      <c r="C574" s="1">
        <v>3679</v>
      </c>
      <c r="D574" s="2">
        <v>42646</v>
      </c>
      <c r="E574" s="1" t="s">
        <v>18</v>
      </c>
      <c r="F574" t="str">
        <f>HYPERLINK("http://www.sec.gov/Archives/edgar/data/1574969/0001144204-16-126546-index.html")</f>
        <v>http://www.sec.gov/Archives/edgar/data/1574969/0001144204-16-126546-index.html</v>
      </c>
    </row>
    <row r="575" spans="1:6" x14ac:dyDescent="0.2">
      <c r="A575" t="s">
        <v>562</v>
      </c>
      <c r="B575" s="1">
        <v>1095981</v>
      </c>
      <c r="C575" s="1">
        <v>3841</v>
      </c>
      <c r="D575" s="2">
        <v>42643</v>
      </c>
      <c r="E575" s="1" t="s">
        <v>42</v>
      </c>
      <c r="F575" t="str">
        <f>HYPERLINK("http://www.sec.gov/Archives/edgar/data/1095981/0001564590-16-025543-index.html")</f>
        <v>http://www.sec.gov/Archives/edgar/data/1095981/0001564590-16-025543-index.html</v>
      </c>
    </row>
    <row r="576" spans="1:6" x14ac:dyDescent="0.2">
      <c r="A576" t="s">
        <v>563</v>
      </c>
      <c r="B576" s="1">
        <v>1375348</v>
      </c>
      <c r="C576" s="1">
        <v>1090</v>
      </c>
      <c r="D576" s="2">
        <v>42643</v>
      </c>
      <c r="E576" s="1" t="s">
        <v>42</v>
      </c>
      <c r="F576" t="str">
        <f>HYPERLINK("http://www.sec.gov/Archives/edgar/data/1375348/0001493152-16-013729-index.html")</f>
        <v>http://www.sec.gov/Archives/edgar/data/1375348/0001493152-16-013729-index.html</v>
      </c>
    </row>
    <row r="577" spans="1:6" x14ac:dyDescent="0.2">
      <c r="A577" t="s">
        <v>564</v>
      </c>
      <c r="B577" s="1">
        <v>1413891</v>
      </c>
      <c r="C577" s="1">
        <v>3690</v>
      </c>
      <c r="D577" s="2">
        <v>42643</v>
      </c>
      <c r="E577" s="1" t="s">
        <v>42</v>
      </c>
      <c r="F577" t="str">
        <f>HYPERLINK("http://www.sec.gov/Archives/edgar/data/1413891/0001511164-16-001049-index.html")</f>
        <v>http://www.sec.gov/Archives/edgar/data/1413891/0001511164-16-001049-index.html</v>
      </c>
    </row>
    <row r="578" spans="1:6" x14ac:dyDescent="0.2">
      <c r="A578" t="s">
        <v>565</v>
      </c>
      <c r="B578" s="1">
        <v>1568969</v>
      </c>
      <c r="C578" s="1">
        <v>7371</v>
      </c>
      <c r="D578" s="2">
        <v>42643</v>
      </c>
      <c r="E578" s="1" t="s">
        <v>18</v>
      </c>
      <c r="F578" t="str">
        <f>HYPERLINK("http://www.sec.gov/Archives/edgar/data/1568969/0001640334-16-001748-index.html")</f>
        <v>http://www.sec.gov/Archives/edgar/data/1568969/0001640334-16-001748-index.html</v>
      </c>
    </row>
    <row r="579" spans="1:6" x14ac:dyDescent="0.2">
      <c r="A579" t="s">
        <v>566</v>
      </c>
      <c r="B579" s="1">
        <v>1650739</v>
      </c>
      <c r="C579" s="1">
        <v>7200</v>
      </c>
      <c r="D579" s="2">
        <v>42643</v>
      </c>
      <c r="E579" s="1" t="s">
        <v>18</v>
      </c>
      <c r="F579" t="str">
        <f>HYPERLINK("http://www.sec.gov/Archives/edgar/data/1650739/0001558891-16-000244-index.html")</f>
        <v>http://www.sec.gov/Archives/edgar/data/1650739/0001558891-16-000244-index.html</v>
      </c>
    </row>
    <row r="580" spans="1:6" x14ac:dyDescent="0.2">
      <c r="A580" t="s">
        <v>567</v>
      </c>
      <c r="B580" s="1">
        <v>21076</v>
      </c>
      <c r="C580" s="1">
        <v>2842</v>
      </c>
      <c r="D580" s="2">
        <v>42643</v>
      </c>
      <c r="E580" s="1" t="s">
        <v>42</v>
      </c>
      <c r="F580" t="str">
        <f>HYPERLINK("http://www.sec.gov/Archives/edgar/data/21076/0001206774-16-007290-index.html")</f>
        <v>http://www.sec.gov/Archives/edgar/data/21076/0001206774-16-007290-index.html</v>
      </c>
    </row>
    <row r="581" spans="1:6" x14ac:dyDescent="0.2">
      <c r="A581" t="s">
        <v>568</v>
      </c>
      <c r="B581" s="1">
        <v>732026</v>
      </c>
      <c r="C581" s="1">
        <v>3559</v>
      </c>
      <c r="D581" s="2">
        <v>42643</v>
      </c>
      <c r="E581" s="1" t="s">
        <v>42</v>
      </c>
      <c r="F581" t="str">
        <f>HYPERLINK("http://www.sec.gov/Archives/edgar/data/732026/0001415889-16-007232-index.html")</f>
        <v>http://www.sec.gov/Archives/edgar/data/732026/0001415889-16-007232-index.html</v>
      </c>
    </row>
    <row r="582" spans="1:6" x14ac:dyDescent="0.2">
      <c r="A582" t="s">
        <v>569</v>
      </c>
      <c r="B582" s="1">
        <v>96793</v>
      </c>
      <c r="C582" s="1">
        <v>8062</v>
      </c>
      <c r="D582" s="2">
        <v>42643</v>
      </c>
      <c r="E582" s="1" t="s">
        <v>18</v>
      </c>
      <c r="F582" t="str">
        <f>HYPERLINK("http://www.sec.gov/Archives/edgar/data/96793/0001193125-16-726649-index.html")</f>
        <v>http://www.sec.gov/Archives/edgar/data/96793/0001193125-16-726649-index.html</v>
      </c>
    </row>
    <row r="583" spans="1:6" x14ac:dyDescent="0.2">
      <c r="A583" t="s">
        <v>570</v>
      </c>
      <c r="B583" s="1">
        <v>98618</v>
      </c>
      <c r="C583" s="1">
        <v>4953</v>
      </c>
      <c r="D583" s="2">
        <v>42643</v>
      </c>
      <c r="E583" s="1" t="s">
        <v>18</v>
      </c>
      <c r="F583" t="str">
        <f>HYPERLINK("http://www.sec.gov/Archives/edgar/data/98618/0000098618-16-000031-index.html")</f>
        <v>http://www.sec.gov/Archives/edgar/data/98618/0000098618-16-000031-index.html</v>
      </c>
    </row>
    <row r="584" spans="1:6" x14ac:dyDescent="0.2">
      <c r="A584" t="s">
        <v>571</v>
      </c>
      <c r="B584" s="1">
        <v>1001907</v>
      </c>
      <c r="C584" s="1">
        <v>3760</v>
      </c>
      <c r="D584" s="2">
        <v>42642</v>
      </c>
      <c r="E584" s="1" t="s">
        <v>18</v>
      </c>
      <c r="F584" t="str">
        <f>HYPERLINK("http://www.sec.gov/Archives/edgar/data/1001907/0001001907-16-000088-index.html")</f>
        <v>http://www.sec.gov/Archives/edgar/data/1001907/0001001907-16-000088-index.html</v>
      </c>
    </row>
    <row r="585" spans="1:6" x14ac:dyDescent="0.2">
      <c r="A585" t="s">
        <v>572</v>
      </c>
      <c r="B585" s="1">
        <v>1309057</v>
      </c>
      <c r="C585" s="1">
        <v>2834</v>
      </c>
      <c r="D585" s="2">
        <v>42642</v>
      </c>
      <c r="E585" s="1" t="s">
        <v>42</v>
      </c>
      <c r="F585" t="str">
        <f>HYPERLINK("http://www.sec.gov/Archives/edgar/data/1309057/0001062993-16-011594-index.html")</f>
        <v>http://www.sec.gov/Archives/edgar/data/1309057/0001062993-16-011594-index.html</v>
      </c>
    </row>
    <row r="586" spans="1:6" x14ac:dyDescent="0.2">
      <c r="A586" t="s">
        <v>573</v>
      </c>
      <c r="B586" s="1">
        <v>1355848</v>
      </c>
      <c r="C586" s="1">
        <v>7812</v>
      </c>
      <c r="D586" s="2">
        <v>42642</v>
      </c>
      <c r="E586" s="1" t="s">
        <v>42</v>
      </c>
      <c r="F586" t="str">
        <f>HYPERLINK("http://www.sec.gov/Archives/edgar/data/1355848/0001683168-16-000217-index.html")</f>
        <v>http://www.sec.gov/Archives/edgar/data/1355848/0001683168-16-000217-index.html</v>
      </c>
    </row>
    <row r="587" spans="1:6" x14ac:dyDescent="0.2">
      <c r="A587" t="s">
        <v>574</v>
      </c>
      <c r="B587" s="1">
        <v>13573</v>
      </c>
      <c r="C587" s="1">
        <v>7900</v>
      </c>
      <c r="D587" s="2">
        <v>42642</v>
      </c>
      <c r="E587" s="1" t="s">
        <v>18</v>
      </c>
      <c r="F587" t="str">
        <f>HYPERLINK("http://www.sec.gov/Archives/edgar/data/13573/0001437749-16-039266-index.html")</f>
        <v>http://www.sec.gov/Archives/edgar/data/13573/0001437749-16-039266-index.html</v>
      </c>
    </row>
    <row r="588" spans="1:6" x14ac:dyDescent="0.2">
      <c r="A588" t="s">
        <v>575</v>
      </c>
      <c r="B588" s="1">
        <v>1375063</v>
      </c>
      <c r="C588" s="1">
        <v>2990</v>
      </c>
      <c r="D588" s="2">
        <v>42642</v>
      </c>
      <c r="E588" s="1" t="s">
        <v>18</v>
      </c>
      <c r="F588" t="str">
        <f>HYPERLINK("http://www.sec.gov/Archives/edgar/data/1375063/0001171843-16-012314-index.html")</f>
        <v>http://www.sec.gov/Archives/edgar/data/1375063/0001171843-16-012314-index.html</v>
      </c>
    </row>
    <row r="589" spans="1:6" x14ac:dyDescent="0.2">
      <c r="A589" t="s">
        <v>576</v>
      </c>
      <c r="B589" s="1">
        <v>1385544</v>
      </c>
      <c r="C589" s="1">
        <v>3330</v>
      </c>
      <c r="D589" s="2">
        <v>42642</v>
      </c>
      <c r="E589" s="1" t="s">
        <v>18</v>
      </c>
      <c r="F589" t="str">
        <f>HYPERLINK("http://www.sec.gov/Archives/edgar/data/1385544/0001193125-16-725704-index.html")</f>
        <v>http://www.sec.gov/Archives/edgar/data/1385544/0001193125-16-725704-index.html</v>
      </c>
    </row>
    <row r="590" spans="1:6" x14ac:dyDescent="0.2">
      <c r="A590" t="s">
        <v>577</v>
      </c>
      <c r="B590" s="1">
        <v>1404079</v>
      </c>
      <c r="C590" s="1">
        <v>1381</v>
      </c>
      <c r="D590" s="2">
        <v>42642</v>
      </c>
      <c r="E590" s="1" t="s">
        <v>18</v>
      </c>
      <c r="F590" t="str">
        <f>HYPERLINK("http://www.sec.gov/Archives/edgar/data/1404079/0001144204-16-125883-index.html")</f>
        <v>http://www.sec.gov/Archives/edgar/data/1404079/0001144204-16-125883-index.html</v>
      </c>
    </row>
    <row r="591" spans="1:6" x14ac:dyDescent="0.2">
      <c r="A591" t="s">
        <v>578</v>
      </c>
      <c r="B591" s="1">
        <v>1434674</v>
      </c>
      <c r="C591" s="1">
        <v>7812</v>
      </c>
      <c r="D591" s="2">
        <v>42642</v>
      </c>
      <c r="E591" s="1" t="s">
        <v>18</v>
      </c>
      <c r="F591" t="str">
        <f>HYPERLINK("http://www.sec.gov/Archives/edgar/data/1434674/0001549727-16-000155-index.html")</f>
        <v>http://www.sec.gov/Archives/edgar/data/1434674/0001549727-16-000155-index.html</v>
      </c>
    </row>
    <row r="592" spans="1:6" x14ac:dyDescent="0.2">
      <c r="A592" t="s">
        <v>579</v>
      </c>
      <c r="B592" s="1">
        <v>1614106</v>
      </c>
      <c r="C592" s="1">
        <v>6799</v>
      </c>
      <c r="D592" s="2">
        <v>42642</v>
      </c>
      <c r="E592" s="1" t="s">
        <v>18</v>
      </c>
      <c r="F592" t="str">
        <f>HYPERLINK("http://www.sec.gov/Archives/edgar/data/1614106/0001614106-16-000017-index.html")</f>
        <v>http://www.sec.gov/Archives/edgar/data/1614106/0001614106-16-000017-index.html</v>
      </c>
    </row>
    <row r="593" spans="1:6" x14ac:dyDescent="0.2">
      <c r="A593" t="s">
        <v>580</v>
      </c>
      <c r="B593" s="1">
        <v>1623554</v>
      </c>
      <c r="C593" s="1">
        <v>3949</v>
      </c>
      <c r="D593" s="2">
        <v>42642</v>
      </c>
      <c r="E593" s="1" t="s">
        <v>18</v>
      </c>
      <c r="F593" t="str">
        <f>HYPERLINK("http://www.sec.gov/Archives/edgar/data/1623554/0001493152-16-013701-index.html")</f>
        <v>http://www.sec.gov/Archives/edgar/data/1623554/0001493152-16-013701-index.html</v>
      </c>
    </row>
    <row r="594" spans="1:6" x14ac:dyDescent="0.2">
      <c r="A594" t="s">
        <v>581</v>
      </c>
      <c r="B594" s="1">
        <v>19446</v>
      </c>
      <c r="C594" s="1">
        <v>3841</v>
      </c>
      <c r="D594" s="2">
        <v>42642</v>
      </c>
      <c r="E594" s="1" t="s">
        <v>18</v>
      </c>
      <c r="F594" t="str">
        <f>HYPERLINK("http://www.sec.gov/Archives/edgar/data/19446/0001558370-16-008477-index.html")</f>
        <v>http://www.sec.gov/Archives/edgar/data/19446/0001558370-16-008477-index.html</v>
      </c>
    </row>
    <row r="595" spans="1:6" x14ac:dyDescent="0.2">
      <c r="A595" t="s">
        <v>582</v>
      </c>
      <c r="B595" s="1">
        <v>1012493</v>
      </c>
      <c r="C595" s="1">
        <v>5900</v>
      </c>
      <c r="D595" s="2">
        <v>42641</v>
      </c>
      <c r="E595" s="1" t="s">
        <v>18</v>
      </c>
      <c r="F595" t="str">
        <f>HYPERLINK("http://www.sec.gov/Archives/edgar/data/1012493/0000922358-16-000032-index.html")</f>
        <v>http://www.sec.gov/Archives/edgar/data/1012493/0000922358-16-000032-index.html</v>
      </c>
    </row>
    <row r="596" spans="1:6" x14ac:dyDescent="0.2">
      <c r="A596" t="s">
        <v>583</v>
      </c>
      <c r="B596" s="1">
        <v>1020859</v>
      </c>
      <c r="C596" s="1">
        <v>5141</v>
      </c>
      <c r="D596" s="2">
        <v>42641</v>
      </c>
      <c r="E596" s="1" t="s">
        <v>18</v>
      </c>
      <c r="F596" t="str">
        <f>HYPERLINK("http://www.sec.gov/Archives/edgar/data/1020859/0001020859-16-000356-index.html")</f>
        <v>http://www.sec.gov/Archives/edgar/data/1020859/0001020859-16-000356-index.html</v>
      </c>
    </row>
    <row r="597" spans="1:6" x14ac:dyDescent="0.2">
      <c r="A597" t="s">
        <v>584</v>
      </c>
      <c r="B597" s="1">
        <v>102109</v>
      </c>
      <c r="C597" s="1">
        <v>5065</v>
      </c>
      <c r="D597" s="2">
        <v>42641</v>
      </c>
      <c r="E597" s="1" t="s">
        <v>18</v>
      </c>
      <c r="F597" t="str">
        <f>HYPERLINK("http://www.sec.gov/Archives/edgar/data/102109/0001144204-16-125749-index.html")</f>
        <v>http://www.sec.gov/Archives/edgar/data/102109/0001144204-16-125749-index.html</v>
      </c>
    </row>
    <row r="598" spans="1:6" x14ac:dyDescent="0.2">
      <c r="A598" t="s">
        <v>585</v>
      </c>
      <c r="B598" s="1">
        <v>1059272</v>
      </c>
      <c r="C598" s="1">
        <v>2330</v>
      </c>
      <c r="D598" s="2">
        <v>42641</v>
      </c>
      <c r="E598" s="1" t="s">
        <v>18</v>
      </c>
      <c r="F598" t="str">
        <f>HYPERLINK("http://www.sec.gov/Archives/edgar/data/1059272/0001059272-16-000138-index.html")</f>
        <v>http://www.sec.gov/Archives/edgar/data/1059272/0001059272-16-000138-index.html</v>
      </c>
    </row>
    <row r="599" spans="1:6" x14ac:dyDescent="0.2">
      <c r="A599" t="s">
        <v>586</v>
      </c>
      <c r="B599" s="1">
        <v>1070524</v>
      </c>
      <c r="C599" s="1">
        <v>6036</v>
      </c>
      <c r="D599" s="2">
        <v>42641</v>
      </c>
      <c r="E599" s="1" t="s">
        <v>18</v>
      </c>
      <c r="F599" t="str">
        <f>HYPERLINK("http://www.sec.gov/Archives/edgar/data/1070524/0001140361-16-080871-index.html")</f>
        <v>http://www.sec.gov/Archives/edgar/data/1070524/0001140361-16-080871-index.html</v>
      </c>
    </row>
    <row r="600" spans="1:6" x14ac:dyDescent="0.2">
      <c r="A600" t="s">
        <v>587</v>
      </c>
      <c r="B600" s="1">
        <v>1297341</v>
      </c>
      <c r="C600" s="1">
        <v>6035</v>
      </c>
      <c r="D600" s="2">
        <v>42641</v>
      </c>
      <c r="E600" s="1" t="s">
        <v>18</v>
      </c>
      <c r="F600" t="str">
        <f>HYPERLINK("http://www.sec.gov/Archives/edgar/data/1297341/0001144204-16-125756-index.html")</f>
        <v>http://www.sec.gov/Archives/edgar/data/1297341/0001144204-16-125756-index.html</v>
      </c>
    </row>
    <row r="601" spans="1:6" x14ac:dyDescent="0.2">
      <c r="A601" t="s">
        <v>588</v>
      </c>
      <c r="B601" s="1">
        <v>1297996</v>
      </c>
      <c r="C601" s="1">
        <v>6798</v>
      </c>
      <c r="D601" s="2">
        <v>42641</v>
      </c>
      <c r="E601" s="1" t="s">
        <v>42</v>
      </c>
      <c r="F601" t="str">
        <f>HYPERLINK("http://www.sec.gov/Archives/edgar/data/1297996/0001297996-16-000260-index.html")</f>
        <v>http://www.sec.gov/Archives/edgar/data/1297996/0001297996-16-000260-index.html</v>
      </c>
    </row>
    <row r="602" spans="1:6" x14ac:dyDescent="0.2">
      <c r="A602" t="s">
        <v>589</v>
      </c>
      <c r="B602" s="1">
        <v>1300734</v>
      </c>
      <c r="C602" s="1">
        <v>100</v>
      </c>
      <c r="D602" s="2">
        <v>42641</v>
      </c>
      <c r="E602" s="1" t="s">
        <v>18</v>
      </c>
      <c r="F602" t="str">
        <f>HYPERLINK("http://www.sec.gov/Archives/edgar/data/1300734/0001144204-16-125814-index.html")</f>
        <v>http://www.sec.gov/Archives/edgar/data/1300734/0001144204-16-125814-index.html</v>
      </c>
    </row>
    <row r="603" spans="1:6" x14ac:dyDescent="0.2">
      <c r="A603" t="s">
        <v>590</v>
      </c>
      <c r="B603" s="1">
        <v>1301991</v>
      </c>
      <c r="C603" s="1">
        <v>3990</v>
      </c>
      <c r="D603" s="2">
        <v>42641</v>
      </c>
      <c r="E603" s="1" t="s">
        <v>18</v>
      </c>
      <c r="F603" t="str">
        <f>HYPERLINK("http://www.sec.gov/Archives/edgar/data/1301991/0001144204-16-125815-index.html")</f>
        <v>http://www.sec.gov/Archives/edgar/data/1301991/0001144204-16-125815-index.html</v>
      </c>
    </row>
    <row r="604" spans="1:6" x14ac:dyDescent="0.2">
      <c r="A604" t="s">
        <v>591</v>
      </c>
      <c r="B604" s="1">
        <v>1302084</v>
      </c>
      <c r="C604" s="1">
        <v>1040</v>
      </c>
      <c r="D604" s="2">
        <v>42641</v>
      </c>
      <c r="E604" s="1" t="s">
        <v>18</v>
      </c>
      <c r="F604" t="str">
        <f>HYPERLINK("http://www.sec.gov/Archives/edgar/data/1302084/0001102624-16-003419-index.html")</f>
        <v>http://www.sec.gov/Archives/edgar/data/1302084/0001102624-16-003419-index.html</v>
      </c>
    </row>
    <row r="605" spans="1:6" x14ac:dyDescent="0.2">
      <c r="A605" t="s">
        <v>572</v>
      </c>
      <c r="B605" s="1">
        <v>1309057</v>
      </c>
      <c r="C605" s="1">
        <v>2834</v>
      </c>
      <c r="D605" s="2">
        <v>42641</v>
      </c>
      <c r="E605" s="1" t="s">
        <v>18</v>
      </c>
      <c r="F605" t="str">
        <f>HYPERLINK("http://www.sec.gov/Archives/edgar/data/1309057/0001062993-16-011575-index.html")</f>
        <v>http://www.sec.gov/Archives/edgar/data/1309057/0001062993-16-011575-index.html</v>
      </c>
    </row>
    <row r="606" spans="1:6" x14ac:dyDescent="0.2">
      <c r="A606" t="s">
        <v>592</v>
      </c>
      <c r="B606" s="1">
        <v>1368275</v>
      </c>
      <c r="C606" s="1">
        <v>4700</v>
      </c>
      <c r="D606" s="2">
        <v>42641</v>
      </c>
      <c r="E606" s="1" t="s">
        <v>18</v>
      </c>
      <c r="F606" t="str">
        <f>HYPERLINK("http://www.sec.gov/Archives/edgar/data/1368275/0001062993-16-011582-index.html")</f>
        <v>http://www.sec.gov/Archives/edgar/data/1368275/0001062993-16-011582-index.html</v>
      </c>
    </row>
    <row r="607" spans="1:6" x14ac:dyDescent="0.2">
      <c r="A607" t="s">
        <v>563</v>
      </c>
      <c r="B607" s="1">
        <v>1375348</v>
      </c>
      <c r="C607" s="1">
        <v>1090</v>
      </c>
      <c r="D607" s="2">
        <v>42641</v>
      </c>
      <c r="E607" s="1" t="s">
        <v>18</v>
      </c>
      <c r="F607" t="str">
        <f>HYPERLINK("http://www.sec.gov/Archives/edgar/data/1375348/0001493152-16-013639-index.html")</f>
        <v>http://www.sec.gov/Archives/edgar/data/1375348/0001493152-16-013639-index.html</v>
      </c>
    </row>
    <row r="608" spans="1:6" x14ac:dyDescent="0.2">
      <c r="A608" t="s">
        <v>593</v>
      </c>
      <c r="B608" s="1">
        <v>1392363</v>
      </c>
      <c r="C608" s="1">
        <v>1700</v>
      </c>
      <c r="D608" s="2">
        <v>42641</v>
      </c>
      <c r="E608" s="1" t="s">
        <v>18</v>
      </c>
      <c r="F608" t="str">
        <f>HYPERLINK("http://www.sec.gov/Archives/edgar/data/1392363/0001062993-16-011584-index.html")</f>
        <v>http://www.sec.gov/Archives/edgar/data/1392363/0001062993-16-011584-index.html</v>
      </c>
    </row>
    <row r="609" spans="1:6" x14ac:dyDescent="0.2">
      <c r="A609" t="s">
        <v>594</v>
      </c>
      <c r="B609" s="1">
        <v>1407583</v>
      </c>
      <c r="C609" s="1">
        <v>1000</v>
      </c>
      <c r="D609" s="2">
        <v>42641</v>
      </c>
      <c r="E609" s="1" t="s">
        <v>18</v>
      </c>
      <c r="F609" t="str">
        <f>HYPERLINK("http://www.sec.gov/Archives/edgar/data/1407583/0001477932-16-012721-index.html")</f>
        <v>http://www.sec.gov/Archives/edgar/data/1407583/0001477932-16-012721-index.html</v>
      </c>
    </row>
    <row r="610" spans="1:6" x14ac:dyDescent="0.2">
      <c r="A610" t="s">
        <v>564</v>
      </c>
      <c r="B610" s="1">
        <v>1413891</v>
      </c>
      <c r="C610" s="1">
        <v>3690</v>
      </c>
      <c r="D610" s="2">
        <v>42641</v>
      </c>
      <c r="E610" s="1" t="s">
        <v>18</v>
      </c>
      <c r="F610" t="str">
        <f>HYPERLINK("http://www.sec.gov/Archives/edgar/data/1413891/0001511164-16-001042-index.html")</f>
        <v>http://www.sec.gov/Archives/edgar/data/1413891/0001511164-16-001042-index.html</v>
      </c>
    </row>
    <row r="611" spans="1:6" x14ac:dyDescent="0.2">
      <c r="A611" t="s">
        <v>595</v>
      </c>
      <c r="B611" s="1">
        <v>1413990</v>
      </c>
      <c r="C611" s="1">
        <v>7372</v>
      </c>
      <c r="D611" s="2">
        <v>42641</v>
      </c>
      <c r="E611" s="1" t="s">
        <v>18</v>
      </c>
      <c r="F611" t="str">
        <f>HYPERLINK("http://www.sec.gov/Archives/edgar/data/1413990/0001213900-16-017077-index.html")</f>
        <v>http://www.sec.gov/Archives/edgar/data/1413990/0001213900-16-017077-index.html</v>
      </c>
    </row>
    <row r="612" spans="1:6" x14ac:dyDescent="0.2">
      <c r="A612" t="s">
        <v>596</v>
      </c>
      <c r="B612" s="1">
        <v>1442620</v>
      </c>
      <c r="C612" s="1">
        <v>1389</v>
      </c>
      <c r="D612" s="2">
        <v>42641</v>
      </c>
      <c r="E612" s="1" t="s">
        <v>18</v>
      </c>
      <c r="F612" t="str">
        <f>HYPERLINK("http://www.sec.gov/Archives/edgar/data/1442620/0001144204-16-125768-index.html")</f>
        <v>http://www.sec.gov/Archives/edgar/data/1442620/0001144204-16-125768-index.html</v>
      </c>
    </row>
    <row r="613" spans="1:6" x14ac:dyDescent="0.2">
      <c r="A613" t="s">
        <v>597</v>
      </c>
      <c r="B613" s="1">
        <v>1490013</v>
      </c>
      <c r="C613" s="1">
        <v>3670</v>
      </c>
      <c r="D613" s="2">
        <v>42641</v>
      </c>
      <c r="E613" s="1" t="s">
        <v>18</v>
      </c>
      <c r="F613" t="str">
        <f>HYPERLINK("http://www.sec.gov/Archives/edgar/data/1490013/0001144204-16-125818-index.html")</f>
        <v>http://www.sec.gov/Archives/edgar/data/1490013/0001144204-16-125818-index.html</v>
      </c>
    </row>
    <row r="614" spans="1:6" x14ac:dyDescent="0.2">
      <c r="A614" t="s">
        <v>598</v>
      </c>
      <c r="B614" s="1">
        <v>1494877</v>
      </c>
      <c r="C614" s="1">
        <v>6500</v>
      </c>
      <c r="D614" s="2">
        <v>42641</v>
      </c>
      <c r="E614" s="1" t="s">
        <v>42</v>
      </c>
      <c r="F614" t="str">
        <f>HYPERLINK("http://www.sec.gov/Archives/edgar/data/1494877/0001297996-16-000260-index.html")</f>
        <v>http://www.sec.gov/Archives/edgar/data/1494877/0001297996-16-000260-index.html</v>
      </c>
    </row>
    <row r="615" spans="1:6" x14ac:dyDescent="0.2">
      <c r="A615" t="s">
        <v>599</v>
      </c>
      <c r="B615" s="1">
        <v>1509261</v>
      </c>
      <c r="C615" s="1">
        <v>2834</v>
      </c>
      <c r="D615" s="2">
        <v>42641</v>
      </c>
      <c r="E615" s="1" t="s">
        <v>18</v>
      </c>
      <c r="F615" t="str">
        <f>HYPERLINK("http://www.sec.gov/Archives/edgar/data/1509261/0001144204-16-125780-index.html")</f>
        <v>http://www.sec.gov/Archives/edgar/data/1509261/0001144204-16-125780-index.html</v>
      </c>
    </row>
    <row r="616" spans="1:6" x14ac:dyDescent="0.2">
      <c r="A616" t="s">
        <v>600</v>
      </c>
      <c r="B616" s="1">
        <v>1517681</v>
      </c>
      <c r="C616" s="1">
        <v>2834</v>
      </c>
      <c r="D616" s="2">
        <v>42641</v>
      </c>
      <c r="E616" s="1" t="s">
        <v>18</v>
      </c>
      <c r="F616" t="str">
        <f>HYPERLINK("http://www.sec.gov/Archives/edgar/data/1517681/0001144204-16-125808-index.html")</f>
        <v>http://www.sec.gov/Archives/edgar/data/1517681/0001144204-16-125808-index.html</v>
      </c>
    </row>
    <row r="617" spans="1:6" x14ac:dyDescent="0.2">
      <c r="A617" t="s">
        <v>601</v>
      </c>
      <c r="B617" s="1">
        <v>1524829</v>
      </c>
      <c r="C617" s="1">
        <v>2721</v>
      </c>
      <c r="D617" s="2">
        <v>42641</v>
      </c>
      <c r="E617" s="1" t="s">
        <v>18</v>
      </c>
      <c r="F617" t="str">
        <f>HYPERLINK("http://www.sec.gov/Archives/edgar/data/1524829/0001552781-16-001960-index.html")</f>
        <v>http://www.sec.gov/Archives/edgar/data/1524829/0001552781-16-001960-index.html</v>
      </c>
    </row>
    <row r="618" spans="1:6" x14ac:dyDescent="0.2">
      <c r="A618" t="s">
        <v>602</v>
      </c>
      <c r="B618" s="1">
        <v>1527728</v>
      </c>
      <c r="C618" s="1">
        <v>2834</v>
      </c>
      <c r="D618" s="2">
        <v>42641</v>
      </c>
      <c r="E618" s="1" t="s">
        <v>18</v>
      </c>
      <c r="F618" t="str">
        <f>HYPERLINK("http://www.sec.gov/Archives/edgar/data/1527728/0001213900-16-017105-index.html")</f>
        <v>http://www.sec.gov/Archives/edgar/data/1527728/0001213900-16-017105-index.html</v>
      </c>
    </row>
    <row r="619" spans="1:6" x14ac:dyDescent="0.2">
      <c r="A619" t="s">
        <v>603</v>
      </c>
      <c r="B619" s="1">
        <v>1557340</v>
      </c>
      <c r="C619" s="1">
        <v>2834</v>
      </c>
      <c r="D619" s="2">
        <v>42641</v>
      </c>
      <c r="E619" s="1" t="s">
        <v>18</v>
      </c>
      <c r="F619" t="str">
        <f>HYPERLINK("http://www.sec.gov/Archives/edgar/data/1557340/0001570931-16-000087-index.html")</f>
        <v>http://www.sec.gov/Archives/edgar/data/1557340/0001570931-16-000087-index.html</v>
      </c>
    </row>
    <row r="620" spans="1:6" x14ac:dyDescent="0.2">
      <c r="A620" t="s">
        <v>604</v>
      </c>
      <c r="B620" s="1">
        <v>1564709</v>
      </c>
      <c r="C620" s="1">
        <v>2080</v>
      </c>
      <c r="D620" s="2">
        <v>42641</v>
      </c>
      <c r="E620" s="1" t="s">
        <v>18</v>
      </c>
      <c r="F620" t="str">
        <f>HYPERLINK("http://www.sec.gov/Archives/edgar/data/1564709/0001144204-16-125710-index.html")</f>
        <v>http://www.sec.gov/Archives/edgar/data/1564709/0001144204-16-125710-index.html</v>
      </c>
    </row>
    <row r="621" spans="1:6" x14ac:dyDescent="0.2">
      <c r="A621" t="s">
        <v>605</v>
      </c>
      <c r="B621" s="1">
        <v>1567802</v>
      </c>
      <c r="C621" s="1">
        <v>1382</v>
      </c>
      <c r="D621" s="2">
        <v>42641</v>
      </c>
      <c r="E621" s="1" t="s">
        <v>18</v>
      </c>
      <c r="F621" t="str">
        <f>HYPERLINK("http://www.sec.gov/Archives/edgar/data/1567802/0001165527-16-000886-index.html")</f>
        <v>http://www.sec.gov/Archives/edgar/data/1567802/0001165527-16-000886-index.html</v>
      </c>
    </row>
    <row r="622" spans="1:6" x14ac:dyDescent="0.2">
      <c r="A622" t="s">
        <v>606</v>
      </c>
      <c r="B622" s="1">
        <v>1580149</v>
      </c>
      <c r="C622" s="1">
        <v>2834</v>
      </c>
      <c r="D622" s="2">
        <v>42641</v>
      </c>
      <c r="E622" s="1" t="s">
        <v>18</v>
      </c>
      <c r="F622" t="str">
        <f>HYPERLINK("http://www.sec.gov/Archives/edgar/data/1580149/0001520138-16-001180-index.html")</f>
        <v>http://www.sec.gov/Archives/edgar/data/1580149/0001520138-16-001180-index.html</v>
      </c>
    </row>
    <row r="623" spans="1:6" x14ac:dyDescent="0.2">
      <c r="A623" t="s">
        <v>607</v>
      </c>
      <c r="B623" s="1">
        <v>1582249</v>
      </c>
      <c r="C623" s="1">
        <v>2834</v>
      </c>
      <c r="D623" s="2">
        <v>42641</v>
      </c>
      <c r="E623" s="1" t="s">
        <v>18</v>
      </c>
      <c r="F623" t="str">
        <f>HYPERLINK("http://www.sec.gov/Archives/edgar/data/1582249/0001144204-16-125830-index.html")</f>
        <v>http://www.sec.gov/Archives/edgar/data/1582249/0001144204-16-125830-index.html</v>
      </c>
    </row>
    <row r="624" spans="1:6" x14ac:dyDescent="0.2">
      <c r="A624" t="s">
        <v>608</v>
      </c>
      <c r="B624" s="1">
        <v>1583771</v>
      </c>
      <c r="C624" s="1">
        <v>2834</v>
      </c>
      <c r="D624" s="2">
        <v>42641</v>
      </c>
      <c r="E624" s="1" t="s">
        <v>18</v>
      </c>
      <c r="F624" t="str">
        <f>HYPERLINK("http://www.sec.gov/Archives/edgar/data/1583771/0001104659-16-147194-index.html")</f>
        <v>http://www.sec.gov/Archives/edgar/data/1583771/0001104659-16-147194-index.html</v>
      </c>
    </row>
    <row r="625" spans="1:6" x14ac:dyDescent="0.2">
      <c r="A625" t="s">
        <v>609</v>
      </c>
      <c r="B625" s="1">
        <v>1593001</v>
      </c>
      <c r="C625" s="1">
        <v>2060</v>
      </c>
      <c r="D625" s="2">
        <v>42641</v>
      </c>
      <c r="E625" s="1" t="s">
        <v>18</v>
      </c>
      <c r="F625" t="str">
        <f>HYPERLINK("http://www.sec.gov/Archives/edgar/data/1593001/0001213900-16-017109-index.html")</f>
        <v>http://www.sec.gov/Archives/edgar/data/1593001/0001213900-16-017109-index.html</v>
      </c>
    </row>
    <row r="626" spans="1:6" x14ac:dyDescent="0.2">
      <c r="A626" t="s">
        <v>610</v>
      </c>
      <c r="B626" s="1">
        <v>1610940</v>
      </c>
      <c r="C626" s="1">
        <v>6221</v>
      </c>
      <c r="D626" s="2">
        <v>42641</v>
      </c>
      <c r="E626" s="1" t="s">
        <v>18</v>
      </c>
      <c r="F626" t="str">
        <f>HYPERLINK("http://www.sec.gov/Archives/edgar/data/1610940/0001144204-16-125699-index.html")</f>
        <v>http://www.sec.gov/Archives/edgar/data/1610940/0001144204-16-125699-index.html</v>
      </c>
    </row>
    <row r="627" spans="1:6" x14ac:dyDescent="0.2">
      <c r="A627" t="s">
        <v>611</v>
      </c>
      <c r="B627" s="1">
        <v>1631282</v>
      </c>
      <c r="C627" s="1">
        <v>8742</v>
      </c>
      <c r="D627" s="2">
        <v>42641</v>
      </c>
      <c r="E627" s="1" t="s">
        <v>18</v>
      </c>
      <c r="F627" t="str">
        <f>HYPERLINK("http://www.sec.gov/Archives/edgar/data/1631282/0001520138-16-001178-index.html")</f>
        <v>http://www.sec.gov/Archives/edgar/data/1631282/0001520138-16-001178-index.html</v>
      </c>
    </row>
    <row r="628" spans="1:6" x14ac:dyDescent="0.2">
      <c r="A628" t="s">
        <v>612</v>
      </c>
      <c r="B628" s="1">
        <v>1650575</v>
      </c>
      <c r="C628" s="1">
        <v>6770</v>
      </c>
      <c r="D628" s="2">
        <v>42641</v>
      </c>
      <c r="E628" s="1" t="s">
        <v>18</v>
      </c>
      <c r="F628" t="str">
        <f>HYPERLINK("http://www.sec.gov/Archives/edgar/data/1650575/0001213900-16-017101-index.html")</f>
        <v>http://www.sec.gov/Archives/edgar/data/1650575/0001213900-16-017101-index.html</v>
      </c>
    </row>
    <row r="629" spans="1:6" x14ac:dyDescent="0.2">
      <c r="A629" t="s">
        <v>613</v>
      </c>
      <c r="B629" s="1">
        <v>355019</v>
      </c>
      <c r="C629" s="1">
        <v>3845</v>
      </c>
      <c r="D629" s="2">
        <v>42641</v>
      </c>
      <c r="E629" s="1" t="s">
        <v>18</v>
      </c>
      <c r="F629" t="str">
        <f>HYPERLINK("http://www.sec.gov/Archives/edgar/data/355019/0000355019-16-000059-index.html")</f>
        <v>http://www.sec.gov/Archives/edgar/data/355019/0000355019-16-000059-index.html</v>
      </c>
    </row>
    <row r="630" spans="1:6" x14ac:dyDescent="0.2">
      <c r="A630" t="s">
        <v>614</v>
      </c>
      <c r="B630" s="1">
        <v>69422</v>
      </c>
      <c r="C630" s="1">
        <v>6513</v>
      </c>
      <c r="D630" s="2">
        <v>42641</v>
      </c>
      <c r="E630" s="1" t="s">
        <v>18</v>
      </c>
      <c r="F630" t="str">
        <f>HYPERLINK("http://www.sec.gov/Archives/edgar/data/69422/0001144204-16-125824-index.html")</f>
        <v>http://www.sec.gov/Archives/edgar/data/69422/0001144204-16-125824-index.html</v>
      </c>
    </row>
    <row r="631" spans="1:6" x14ac:dyDescent="0.2">
      <c r="A631" t="s">
        <v>615</v>
      </c>
      <c r="B631" s="1">
        <v>720875</v>
      </c>
      <c r="C631" s="1">
        <v>3845</v>
      </c>
      <c r="D631" s="2">
        <v>42641</v>
      </c>
      <c r="E631" s="1" t="s">
        <v>18</v>
      </c>
      <c r="F631" t="str">
        <f>HYPERLINK("http://www.sec.gov/Archives/edgar/data/720875/0001096906-16-001922-index.html")</f>
        <v>http://www.sec.gov/Archives/edgar/data/720875/0001096906-16-001922-index.html</v>
      </c>
    </row>
    <row r="632" spans="1:6" x14ac:dyDescent="0.2">
      <c r="A632" t="s">
        <v>616</v>
      </c>
      <c r="B632" s="1">
        <v>722572</v>
      </c>
      <c r="C632" s="1">
        <v>3661</v>
      </c>
      <c r="D632" s="2">
        <v>42641</v>
      </c>
      <c r="E632" s="1" t="s">
        <v>18</v>
      </c>
      <c r="F632" t="str">
        <f>HYPERLINK("http://www.sec.gov/Archives/edgar/data/722572/0001683168-16-000215-index.html")</f>
        <v>http://www.sec.gov/Archives/edgar/data/722572/0001683168-16-000215-index.html</v>
      </c>
    </row>
    <row r="633" spans="1:6" x14ac:dyDescent="0.2">
      <c r="A633" t="s">
        <v>568</v>
      </c>
      <c r="B633" s="1">
        <v>732026</v>
      </c>
      <c r="C633" s="1">
        <v>3559</v>
      </c>
      <c r="D633" s="2">
        <v>42641</v>
      </c>
      <c r="E633" s="1" t="s">
        <v>18</v>
      </c>
      <c r="F633" t="str">
        <f>HYPERLINK("http://www.sec.gov/Archives/edgar/data/732026/0001415889-16-007230-index.html")</f>
        <v>http://www.sec.gov/Archives/edgar/data/732026/0001415889-16-007230-index.html</v>
      </c>
    </row>
    <row r="634" spans="1:6" x14ac:dyDescent="0.2">
      <c r="A634" t="s">
        <v>617</v>
      </c>
      <c r="B634" s="1">
        <v>79661</v>
      </c>
      <c r="C634" s="1">
        <v>6552</v>
      </c>
      <c r="D634" s="2">
        <v>42641</v>
      </c>
      <c r="E634" s="1" t="s">
        <v>18</v>
      </c>
      <c r="F634" t="str">
        <f>HYPERLINK("http://www.sec.gov/Archives/edgar/data/79661/0001144204-16-125803-index.html")</f>
        <v>http://www.sec.gov/Archives/edgar/data/79661/0001144204-16-125803-index.html</v>
      </c>
    </row>
    <row r="635" spans="1:6" x14ac:dyDescent="0.2">
      <c r="A635" t="s">
        <v>618</v>
      </c>
      <c r="B635" s="1">
        <v>812306</v>
      </c>
      <c r="C635" s="1">
        <v>2834</v>
      </c>
      <c r="D635" s="2">
        <v>42641</v>
      </c>
      <c r="E635" s="1" t="s">
        <v>18</v>
      </c>
      <c r="F635" t="str">
        <f>HYPERLINK("http://www.sec.gov/Archives/edgar/data/812306/0001021890-16-000039-index.html")</f>
        <v>http://www.sec.gov/Archives/edgar/data/812306/0001021890-16-000039-index.html</v>
      </c>
    </row>
    <row r="636" spans="1:6" x14ac:dyDescent="0.2">
      <c r="A636" t="s">
        <v>619</v>
      </c>
      <c r="B636" s="1">
        <v>836809</v>
      </c>
      <c r="C636" s="1">
        <v>3663</v>
      </c>
      <c r="D636" s="2">
        <v>42641</v>
      </c>
      <c r="E636" s="1" t="s">
        <v>18</v>
      </c>
      <c r="F636" t="str">
        <f>HYPERLINK("http://www.sec.gov/Archives/edgar/data/836809/0001654954-16-002435-index.html")</f>
        <v>http://www.sec.gov/Archives/edgar/data/836809/0001654954-16-002435-index.html</v>
      </c>
    </row>
    <row r="637" spans="1:6" x14ac:dyDescent="0.2">
      <c r="A637" t="s">
        <v>620</v>
      </c>
      <c r="B637" s="1">
        <v>86759</v>
      </c>
      <c r="C637" s="1">
        <v>6500</v>
      </c>
      <c r="D637" s="2">
        <v>42641</v>
      </c>
      <c r="E637" s="1" t="s">
        <v>18</v>
      </c>
      <c r="F637" t="str">
        <f>HYPERLINK("http://www.sec.gov/Archives/edgar/data/86759/0001144204-16-125816-index.html")</f>
        <v>http://www.sec.gov/Archives/edgar/data/86759/0001144204-16-125816-index.html</v>
      </c>
    </row>
    <row r="638" spans="1:6" x14ac:dyDescent="0.2">
      <c r="A638" t="s">
        <v>621</v>
      </c>
      <c r="B638" s="1">
        <v>867840</v>
      </c>
      <c r="C638" s="1">
        <v>3845</v>
      </c>
      <c r="D638" s="2">
        <v>42641</v>
      </c>
      <c r="E638" s="1" t="s">
        <v>18</v>
      </c>
      <c r="F638" t="str">
        <f>HYPERLINK("http://www.sec.gov/Archives/edgar/data/867840/0001683168-16-000211-index.html")</f>
        <v>http://www.sec.gov/Archives/edgar/data/867840/0001683168-16-000211-index.html</v>
      </c>
    </row>
    <row r="639" spans="1:6" x14ac:dyDescent="0.2">
      <c r="A639" t="s">
        <v>622</v>
      </c>
      <c r="B639" s="1">
        <v>890543</v>
      </c>
      <c r="C639" s="1">
        <v>2890</v>
      </c>
      <c r="D639" s="2">
        <v>42641</v>
      </c>
      <c r="E639" s="1" t="s">
        <v>18</v>
      </c>
      <c r="F639" t="str">
        <f>HYPERLINK("http://www.sec.gov/Archives/edgar/data/890543/0001052918-16-001289-index.html")</f>
        <v>http://www.sec.gov/Archives/edgar/data/890543/0001052918-16-001289-index.html</v>
      </c>
    </row>
    <row r="640" spans="1:6" x14ac:dyDescent="0.2">
      <c r="A640" t="s">
        <v>623</v>
      </c>
      <c r="B640" s="1">
        <v>900075</v>
      </c>
      <c r="C640" s="1">
        <v>5500</v>
      </c>
      <c r="D640" s="2">
        <v>42641</v>
      </c>
      <c r="E640" s="1" t="s">
        <v>18</v>
      </c>
      <c r="F640" t="str">
        <f>HYPERLINK("http://www.sec.gov/Archives/edgar/data/900075/0000900075-16-000081-index.html")</f>
        <v>http://www.sec.gov/Archives/edgar/data/900075/0000900075-16-000081-index.html</v>
      </c>
    </row>
    <row r="641" spans="1:6" x14ac:dyDescent="0.2">
      <c r="A641" t="s">
        <v>624</v>
      </c>
      <c r="B641" s="1">
        <v>922358</v>
      </c>
      <c r="C641" s="1">
        <v>5900</v>
      </c>
      <c r="D641" s="2">
        <v>42641</v>
      </c>
      <c r="E641" s="1" t="s">
        <v>18</v>
      </c>
      <c r="F641" t="str">
        <f>HYPERLINK("http://www.sec.gov/Archives/edgar/data/922358/0000922358-16-000032-index.html")</f>
        <v>http://www.sec.gov/Archives/edgar/data/922358/0000922358-16-000032-index.html</v>
      </c>
    </row>
    <row r="642" spans="1:6" x14ac:dyDescent="0.2">
      <c r="A642" t="s">
        <v>625</v>
      </c>
      <c r="B642" s="1">
        <v>922359</v>
      </c>
      <c r="C642" s="1">
        <v>5900</v>
      </c>
      <c r="D642" s="2">
        <v>42641</v>
      </c>
      <c r="E642" s="1" t="s">
        <v>18</v>
      </c>
      <c r="F642" t="str">
        <f>HYPERLINK("http://www.sec.gov/Archives/edgar/data/922359/0000922358-16-000032-index.html")</f>
        <v>http://www.sec.gov/Archives/edgar/data/922359/0000922358-16-000032-index.html</v>
      </c>
    </row>
    <row r="643" spans="1:6" x14ac:dyDescent="0.2">
      <c r="A643" t="s">
        <v>626</v>
      </c>
      <c r="B643" s="1">
        <v>922360</v>
      </c>
      <c r="C643" s="1">
        <v>5900</v>
      </c>
      <c r="D643" s="2">
        <v>42641</v>
      </c>
      <c r="E643" s="1" t="s">
        <v>18</v>
      </c>
      <c r="F643" t="str">
        <f>HYPERLINK("http://www.sec.gov/Archives/edgar/data/922360/0000922358-16-000032-index.html")</f>
        <v>http://www.sec.gov/Archives/edgar/data/922360/0000922358-16-000032-index.html</v>
      </c>
    </row>
    <row r="644" spans="1:6" x14ac:dyDescent="0.2">
      <c r="A644" t="s">
        <v>627</v>
      </c>
      <c r="B644" s="1">
        <v>1230058</v>
      </c>
      <c r="C644" s="1">
        <v>6552</v>
      </c>
      <c r="D644" s="2">
        <v>42640</v>
      </c>
      <c r="E644" s="1" t="s">
        <v>18</v>
      </c>
      <c r="F644" t="str">
        <f>HYPERLINK("http://www.sec.gov/Archives/edgar/data/1230058/0000892626-16-000543-index.html")</f>
        <v>http://www.sec.gov/Archives/edgar/data/1230058/0000892626-16-000543-index.html</v>
      </c>
    </row>
    <row r="645" spans="1:6" x14ac:dyDescent="0.2">
      <c r="A645" t="s">
        <v>628</v>
      </c>
      <c r="B645" s="1">
        <v>1304730</v>
      </c>
      <c r="C645" s="1">
        <v>1000</v>
      </c>
      <c r="D645" s="2">
        <v>42640</v>
      </c>
      <c r="E645" s="1" t="s">
        <v>18</v>
      </c>
      <c r="F645" t="str">
        <f>HYPERLINK("http://www.sec.gov/Archives/edgar/data/1304730/0001176256-16-000662-index.html")</f>
        <v>http://www.sec.gov/Archives/edgar/data/1304730/0001176256-16-000662-index.html</v>
      </c>
    </row>
    <row r="646" spans="1:6" x14ac:dyDescent="0.2">
      <c r="A646" t="s">
        <v>629</v>
      </c>
      <c r="B646" s="1">
        <v>1343719</v>
      </c>
      <c r="C646" s="1">
        <v>1382</v>
      </c>
      <c r="D646" s="2">
        <v>42640</v>
      </c>
      <c r="E646" s="1" t="s">
        <v>18</v>
      </c>
      <c r="F646" t="str">
        <f>HYPERLINK("http://www.sec.gov/Archives/edgar/data/1343719/0001144204-16-125536-index.html")</f>
        <v>http://www.sec.gov/Archives/edgar/data/1343719/0001144204-16-125536-index.html</v>
      </c>
    </row>
    <row r="647" spans="1:6" x14ac:dyDescent="0.2">
      <c r="A647" t="s">
        <v>630</v>
      </c>
      <c r="B647" s="1">
        <v>1358651</v>
      </c>
      <c r="C647" s="1">
        <v>5311</v>
      </c>
      <c r="D647" s="2">
        <v>42640</v>
      </c>
      <c r="E647" s="1" t="s">
        <v>18</v>
      </c>
      <c r="F647" t="str">
        <f>HYPERLINK("http://www.sec.gov/Archives/edgar/data/1358651/0001358651-16-000030-index.html")</f>
        <v>http://www.sec.gov/Archives/edgar/data/1358651/0001358651-16-000030-index.html</v>
      </c>
    </row>
    <row r="648" spans="1:6" x14ac:dyDescent="0.2">
      <c r="A648" t="s">
        <v>631</v>
      </c>
      <c r="B648" s="1">
        <v>1374567</v>
      </c>
      <c r="C648" s="1">
        <v>2510</v>
      </c>
      <c r="D648" s="2">
        <v>42640</v>
      </c>
      <c r="E648" s="1" t="s">
        <v>18</v>
      </c>
      <c r="F648" t="str">
        <f>HYPERLINK("http://www.sec.gov/Archives/edgar/data/1374567/0001017386-16-000540-index.html")</f>
        <v>http://www.sec.gov/Archives/edgar/data/1374567/0001017386-16-000540-index.html</v>
      </c>
    </row>
    <row r="649" spans="1:6" x14ac:dyDescent="0.2">
      <c r="A649" t="s">
        <v>632</v>
      </c>
      <c r="B649" s="1">
        <v>1448558</v>
      </c>
      <c r="C649" s="1">
        <v>3669</v>
      </c>
      <c r="D649" s="2">
        <v>42640</v>
      </c>
      <c r="E649" s="1" t="s">
        <v>42</v>
      </c>
      <c r="F649" t="str">
        <f>HYPERLINK("http://www.sec.gov/Archives/edgar/data/1448558/0001445866-16-002681-index.html")</f>
        <v>http://www.sec.gov/Archives/edgar/data/1448558/0001445866-16-002681-index.html</v>
      </c>
    </row>
    <row r="650" spans="1:6" x14ac:dyDescent="0.2">
      <c r="A650" t="s">
        <v>633</v>
      </c>
      <c r="B650" s="1">
        <v>1453099</v>
      </c>
      <c r="C650" s="1">
        <v>5047</v>
      </c>
      <c r="D650" s="2">
        <v>42640</v>
      </c>
      <c r="E650" s="1" t="s">
        <v>18</v>
      </c>
      <c r="F650" t="str">
        <f>HYPERLINK("http://www.sec.gov/Archives/edgar/data/1453099/0001477932-16-012704-index.html")</f>
        <v>http://www.sec.gov/Archives/edgar/data/1453099/0001477932-16-012704-index.html</v>
      </c>
    </row>
    <row r="651" spans="1:6" x14ac:dyDescent="0.2">
      <c r="A651" t="s">
        <v>229</v>
      </c>
      <c r="B651" s="1">
        <v>1505367</v>
      </c>
      <c r="C651" s="1">
        <v>6770</v>
      </c>
      <c r="D651" s="2">
        <v>42640</v>
      </c>
      <c r="E651" s="1" t="s">
        <v>18</v>
      </c>
      <c r="F651" t="str">
        <f>HYPERLINK("http://www.sec.gov/Archives/edgar/data/1505367/0001078782-16-003524-index.html")</f>
        <v>http://www.sec.gov/Archives/edgar/data/1505367/0001078782-16-003524-index.html</v>
      </c>
    </row>
    <row r="652" spans="1:6" x14ac:dyDescent="0.2">
      <c r="A652" t="s">
        <v>634</v>
      </c>
      <c r="B652" s="1">
        <v>1514131</v>
      </c>
      <c r="C652" s="1">
        <v>6035</v>
      </c>
      <c r="D652" s="2">
        <v>42640</v>
      </c>
      <c r="E652" s="1" t="s">
        <v>18</v>
      </c>
      <c r="F652" t="str">
        <f>HYPERLINK("http://www.sec.gov/Archives/edgar/data/1514131/0001144204-16-125578-index.html")</f>
        <v>http://www.sec.gov/Archives/edgar/data/1514131/0001144204-16-125578-index.html</v>
      </c>
    </row>
    <row r="653" spans="1:6" x14ac:dyDescent="0.2">
      <c r="A653" t="s">
        <v>635</v>
      </c>
      <c r="B653" s="1">
        <v>1520118</v>
      </c>
      <c r="C653" s="1">
        <v>5900</v>
      </c>
      <c r="D653" s="2">
        <v>42640</v>
      </c>
      <c r="E653" s="1" t="s">
        <v>18</v>
      </c>
      <c r="F653" t="str">
        <f>HYPERLINK("http://www.sec.gov/Archives/edgar/data/1520118/0001477932-16-012699-index.html")</f>
        <v>http://www.sec.gov/Archives/edgar/data/1520118/0001477932-16-012699-index.html</v>
      </c>
    </row>
    <row r="654" spans="1:6" x14ac:dyDescent="0.2">
      <c r="A654" t="s">
        <v>636</v>
      </c>
      <c r="B654" s="1">
        <v>1520592</v>
      </c>
      <c r="C654" s="1">
        <v>7812</v>
      </c>
      <c r="D654" s="2">
        <v>42640</v>
      </c>
      <c r="E654" s="1" t="s">
        <v>18</v>
      </c>
      <c r="F654" t="str">
        <f>HYPERLINK("http://www.sec.gov/Archives/edgar/data/1520592/0001511164-16-001039-index.html")</f>
        <v>http://www.sec.gov/Archives/edgar/data/1520592/0001511164-16-001039-index.html</v>
      </c>
    </row>
    <row r="655" spans="1:6" x14ac:dyDescent="0.2">
      <c r="A655" t="s">
        <v>637</v>
      </c>
      <c r="B655" s="1">
        <v>1522767</v>
      </c>
      <c r="C655" s="1">
        <v>7374</v>
      </c>
      <c r="D655" s="2">
        <v>42640</v>
      </c>
      <c r="E655" s="1" t="s">
        <v>18</v>
      </c>
      <c r="F655" t="str">
        <f>HYPERLINK("http://www.sec.gov/Archives/edgar/data/1522767/0001264931-16-000414-index.html")</f>
        <v>http://www.sec.gov/Archives/edgar/data/1522767/0001264931-16-000414-index.html</v>
      </c>
    </row>
    <row r="656" spans="1:6" x14ac:dyDescent="0.2">
      <c r="A656" t="s">
        <v>638</v>
      </c>
      <c r="B656" s="1">
        <v>1575420</v>
      </c>
      <c r="C656" s="1">
        <v>3640</v>
      </c>
      <c r="D656" s="2">
        <v>42640</v>
      </c>
      <c r="E656" s="1" t="s">
        <v>18</v>
      </c>
      <c r="F656" t="str">
        <f>HYPERLINK("http://www.sec.gov/Archives/edgar/data/1575420/0001062993-16-011567-index.html")</f>
        <v>http://www.sec.gov/Archives/edgar/data/1575420/0001062993-16-011567-index.html</v>
      </c>
    </row>
    <row r="657" spans="1:6" x14ac:dyDescent="0.2">
      <c r="A657" t="s">
        <v>639</v>
      </c>
      <c r="B657" s="1">
        <v>1609258</v>
      </c>
      <c r="C657" s="1">
        <v>1311</v>
      </c>
      <c r="D657" s="2">
        <v>42640</v>
      </c>
      <c r="E657" s="1" t="s">
        <v>18</v>
      </c>
      <c r="F657" t="str">
        <f>HYPERLINK("http://www.sec.gov/Archives/edgar/data/1609258/0001594062-16-000622-index.html")</f>
        <v>http://www.sec.gov/Archives/edgar/data/1609258/0001594062-16-000622-index.html</v>
      </c>
    </row>
    <row r="658" spans="1:6" x14ac:dyDescent="0.2">
      <c r="A658" t="s">
        <v>640</v>
      </c>
      <c r="B658" s="1">
        <v>1624982</v>
      </c>
      <c r="C658" s="1">
        <v>2050</v>
      </c>
      <c r="D658" s="2">
        <v>42640</v>
      </c>
      <c r="E658" s="1" t="s">
        <v>18</v>
      </c>
      <c r="F658" t="str">
        <f>HYPERLINK("http://www.sec.gov/Archives/edgar/data/1624982/0001607062-16-001001-index.html")</f>
        <v>http://www.sec.gov/Archives/edgar/data/1624982/0001607062-16-001001-index.html</v>
      </c>
    </row>
    <row r="659" spans="1:6" x14ac:dyDescent="0.2">
      <c r="A659" t="s">
        <v>641</v>
      </c>
      <c r="B659" s="1">
        <v>1646576</v>
      </c>
      <c r="C659" s="1">
        <v>5960</v>
      </c>
      <c r="D659" s="2">
        <v>42640</v>
      </c>
      <c r="E659" s="1" t="s">
        <v>18</v>
      </c>
      <c r="F659" t="str">
        <f>HYPERLINK("http://www.sec.gov/Archives/edgar/data/1646576/0001493152-16-013603-index.html")</f>
        <v>http://www.sec.gov/Archives/edgar/data/1646576/0001493152-16-013603-index.html</v>
      </c>
    </row>
    <row r="660" spans="1:6" x14ac:dyDescent="0.2">
      <c r="A660" t="s">
        <v>642</v>
      </c>
      <c r="B660" s="1">
        <v>6284</v>
      </c>
      <c r="C660" s="1">
        <v>3825</v>
      </c>
      <c r="D660" s="2">
        <v>42640</v>
      </c>
      <c r="E660" s="1" t="s">
        <v>18</v>
      </c>
      <c r="F660" t="str">
        <f>HYPERLINK("http://www.sec.gov/Archives/edgar/data/6284/0001193125-16-721523-index.html")</f>
        <v>http://www.sec.gov/Archives/edgar/data/6284/0001193125-16-721523-index.html</v>
      </c>
    </row>
    <row r="661" spans="1:6" x14ac:dyDescent="0.2">
      <c r="A661" t="s">
        <v>643</v>
      </c>
      <c r="B661" s="1">
        <v>704366</v>
      </c>
      <c r="C661" s="1">
        <v>3842</v>
      </c>
      <c r="D661" s="2">
        <v>42640</v>
      </c>
      <c r="E661" s="1" t="s">
        <v>18</v>
      </c>
      <c r="F661" t="str">
        <f>HYPERLINK("http://www.sec.gov/Archives/edgar/data/704366/0001477932-16-012706-index.html")</f>
        <v>http://www.sec.gov/Archives/edgar/data/704366/0001477932-16-012706-index.html</v>
      </c>
    </row>
    <row r="662" spans="1:6" x14ac:dyDescent="0.2">
      <c r="A662" t="s">
        <v>644</v>
      </c>
      <c r="B662" s="1">
        <v>743758</v>
      </c>
      <c r="C662" s="1">
        <v>5900</v>
      </c>
      <c r="D662" s="2">
        <v>42640</v>
      </c>
      <c r="E662" s="1" t="s">
        <v>18</v>
      </c>
      <c r="F662" t="str">
        <f>HYPERLINK("http://www.sec.gov/Archives/edgar/data/743758/0001065949-16-000499-index.html")</f>
        <v>http://www.sec.gov/Archives/edgar/data/743758/0001065949-16-000499-index.html</v>
      </c>
    </row>
    <row r="663" spans="1:6" x14ac:dyDescent="0.2">
      <c r="A663" t="s">
        <v>645</v>
      </c>
      <c r="B663" s="1">
        <v>803016</v>
      </c>
      <c r="C663" s="1">
        <v>6021</v>
      </c>
      <c r="D663" s="2">
        <v>42640</v>
      </c>
      <c r="E663" s="1" t="s">
        <v>18</v>
      </c>
      <c r="F663" t="str">
        <f>HYPERLINK("http://www.sec.gov/Archives/edgar/data/803016/0001171843-16-012282-index.html")</f>
        <v>http://www.sec.gov/Archives/edgar/data/803016/0001171843-16-012282-index.html</v>
      </c>
    </row>
    <row r="664" spans="1:6" x14ac:dyDescent="0.2">
      <c r="A664" t="s">
        <v>646</v>
      </c>
      <c r="B664" s="1">
        <v>828530</v>
      </c>
      <c r="C664" s="1">
        <v>6035</v>
      </c>
      <c r="D664" s="2">
        <v>42640</v>
      </c>
      <c r="E664" s="1" t="s">
        <v>18</v>
      </c>
      <c r="F664" t="str">
        <f>HYPERLINK("http://www.sec.gov/Archives/edgar/data/828530/0001553350-16-002500-index.html")</f>
        <v>http://www.sec.gov/Archives/edgar/data/828530/0001553350-16-002500-index.html</v>
      </c>
    </row>
    <row r="665" spans="1:6" x14ac:dyDescent="0.2">
      <c r="A665" t="s">
        <v>647</v>
      </c>
      <c r="B665" s="1">
        <v>874396</v>
      </c>
      <c r="C665" s="1">
        <v>3420</v>
      </c>
      <c r="D665" s="2">
        <v>42640</v>
      </c>
      <c r="E665" s="1" t="s">
        <v>42</v>
      </c>
      <c r="F665" t="str">
        <f>HYPERLINK("http://www.sec.gov/Archives/edgar/data/874396/0001193125-16-721708-index.html")</f>
        <v>http://www.sec.gov/Archives/edgar/data/874396/0001193125-16-721708-index.html</v>
      </c>
    </row>
    <row r="666" spans="1:6" x14ac:dyDescent="0.2">
      <c r="A666" t="s">
        <v>648</v>
      </c>
      <c r="B666" s="1">
        <v>885074</v>
      </c>
      <c r="C666" s="1">
        <v>7373</v>
      </c>
      <c r="D666" s="2">
        <v>42640</v>
      </c>
      <c r="E666" s="1" t="s">
        <v>21</v>
      </c>
      <c r="F666" t="str">
        <f>HYPERLINK("http://www.sec.gov/Archives/edgar/data/885074/0001144204-16-125549-index.html")</f>
        <v>http://www.sec.gov/Archives/edgar/data/885074/0001144204-16-125549-index.html</v>
      </c>
    </row>
    <row r="667" spans="1:6" x14ac:dyDescent="0.2">
      <c r="A667" t="s">
        <v>649</v>
      </c>
      <c r="B667" s="1">
        <v>1067294</v>
      </c>
      <c r="C667" s="1">
        <v>5812</v>
      </c>
      <c r="D667" s="2">
        <v>42639</v>
      </c>
      <c r="E667" s="1" t="s">
        <v>18</v>
      </c>
      <c r="F667" t="str">
        <f>HYPERLINK("http://www.sec.gov/Archives/edgar/data/1067294/0001140361-16-080733-index.html")</f>
        <v>http://www.sec.gov/Archives/edgar/data/1067294/0001140361-16-080733-index.html</v>
      </c>
    </row>
    <row r="668" spans="1:6" x14ac:dyDescent="0.2">
      <c r="A668" t="s">
        <v>650</v>
      </c>
      <c r="B668" s="1">
        <v>1083743</v>
      </c>
      <c r="C668" s="1">
        <v>3690</v>
      </c>
      <c r="D668" s="2">
        <v>42639</v>
      </c>
      <c r="E668" s="1" t="s">
        <v>18</v>
      </c>
      <c r="F668" t="str">
        <f>HYPERLINK("http://www.sec.gov/Archives/edgar/data/1083743/0001437749-16-039123-index.html")</f>
        <v>http://www.sec.gov/Archives/edgar/data/1083743/0001437749-16-039123-index.html</v>
      </c>
    </row>
    <row r="669" spans="1:6" x14ac:dyDescent="0.2">
      <c r="A669" t="s">
        <v>651</v>
      </c>
      <c r="B669" s="1">
        <v>1139822</v>
      </c>
      <c r="C669" s="1">
        <v>7389</v>
      </c>
      <c r="D669" s="2">
        <v>42639</v>
      </c>
      <c r="E669" s="1" t="s">
        <v>18</v>
      </c>
      <c r="F669" t="str">
        <f>HYPERLINK("http://www.sec.gov/Archives/edgar/data/1139822/0001683168-16-000186-index.html")</f>
        <v>http://www.sec.gov/Archives/edgar/data/1139822/0001683168-16-000186-index.html</v>
      </c>
    </row>
    <row r="670" spans="1:6" x14ac:dyDescent="0.2">
      <c r="A670" t="s">
        <v>652</v>
      </c>
      <c r="B670" s="1">
        <v>1525306</v>
      </c>
      <c r="C670" s="1">
        <v>5065</v>
      </c>
      <c r="D670" s="2">
        <v>42639</v>
      </c>
      <c r="E670" s="1" t="s">
        <v>18</v>
      </c>
      <c r="F670" t="str">
        <f>HYPERLINK("http://www.sec.gov/Archives/edgar/data/1525306/0001477932-16-012677-index.html")</f>
        <v>http://www.sec.gov/Archives/edgar/data/1525306/0001477932-16-012677-index.html</v>
      </c>
    </row>
    <row r="671" spans="1:6" x14ac:dyDescent="0.2">
      <c r="A671" t="s">
        <v>653</v>
      </c>
      <c r="B671" s="1">
        <v>1536694</v>
      </c>
      <c r="C671" s="1">
        <v>6189</v>
      </c>
      <c r="D671" s="2">
        <v>42639</v>
      </c>
      <c r="E671" s="1" t="s">
        <v>42</v>
      </c>
      <c r="F671" t="str">
        <f>HYPERLINK("http://www.sec.gov/Archives/edgar/data/1536694/0001193125-16-719772-index.html")</f>
        <v>http://www.sec.gov/Archives/edgar/data/1536694/0001193125-16-719772-index.html</v>
      </c>
    </row>
    <row r="672" spans="1:6" x14ac:dyDescent="0.2">
      <c r="A672" t="s">
        <v>654</v>
      </c>
      <c r="B672" s="1">
        <v>1545416</v>
      </c>
      <c r="C672" s="1">
        <v>6189</v>
      </c>
      <c r="D672" s="2">
        <v>42639</v>
      </c>
      <c r="E672" s="1" t="s">
        <v>42</v>
      </c>
      <c r="F672" t="str">
        <f>HYPERLINK("http://www.sec.gov/Archives/edgar/data/1545416/0001193125-16-719763-index.html")</f>
        <v>http://www.sec.gov/Archives/edgar/data/1545416/0001193125-16-719763-index.html</v>
      </c>
    </row>
    <row r="673" spans="1:6" x14ac:dyDescent="0.2">
      <c r="A673" t="s">
        <v>655</v>
      </c>
      <c r="B673" s="1">
        <v>1551097</v>
      </c>
      <c r="C673" s="1">
        <v>6189</v>
      </c>
      <c r="D673" s="2">
        <v>42639</v>
      </c>
      <c r="E673" s="1" t="s">
        <v>42</v>
      </c>
      <c r="F673" t="str">
        <f>HYPERLINK("http://www.sec.gov/Archives/edgar/data/1551097/0001193125-16-719756-index.html")</f>
        <v>http://www.sec.gov/Archives/edgar/data/1551097/0001193125-16-719756-index.html</v>
      </c>
    </row>
    <row r="674" spans="1:6" x14ac:dyDescent="0.2">
      <c r="A674" t="s">
        <v>656</v>
      </c>
      <c r="B674" s="1">
        <v>1558904</v>
      </c>
      <c r="C674" s="1">
        <v>6189</v>
      </c>
      <c r="D674" s="2">
        <v>42639</v>
      </c>
      <c r="E674" s="1" t="s">
        <v>42</v>
      </c>
      <c r="F674" t="str">
        <f>HYPERLINK("http://www.sec.gov/Archives/edgar/data/1558904/0001193125-16-719723-index.html")</f>
        <v>http://www.sec.gov/Archives/edgar/data/1558904/0001193125-16-719723-index.html</v>
      </c>
    </row>
    <row r="675" spans="1:6" x14ac:dyDescent="0.2">
      <c r="A675" t="s">
        <v>657</v>
      </c>
      <c r="B675" s="1">
        <v>1561167</v>
      </c>
      <c r="C675" s="1">
        <v>6189</v>
      </c>
      <c r="D675" s="2">
        <v>42639</v>
      </c>
      <c r="E675" s="1" t="s">
        <v>42</v>
      </c>
      <c r="F675" t="str">
        <f>HYPERLINK("http://www.sec.gov/Archives/edgar/data/1561167/0001193125-16-719749-index.html")</f>
        <v>http://www.sec.gov/Archives/edgar/data/1561167/0001193125-16-719749-index.html</v>
      </c>
    </row>
    <row r="676" spans="1:6" x14ac:dyDescent="0.2">
      <c r="A676" t="s">
        <v>658</v>
      </c>
      <c r="B676" s="1">
        <v>1563531</v>
      </c>
      <c r="C676" s="1">
        <v>6189</v>
      </c>
      <c r="D676" s="2">
        <v>42639</v>
      </c>
      <c r="E676" s="1" t="s">
        <v>42</v>
      </c>
      <c r="F676" t="str">
        <f>HYPERLINK("http://www.sec.gov/Archives/edgar/data/1563531/0001193125-16-719743-index.html")</f>
        <v>http://www.sec.gov/Archives/edgar/data/1563531/0001193125-16-719743-index.html</v>
      </c>
    </row>
    <row r="677" spans="1:6" x14ac:dyDescent="0.2">
      <c r="A677" t="s">
        <v>659</v>
      </c>
      <c r="B677" s="1">
        <v>1570440</v>
      </c>
      <c r="C677" s="1">
        <v>6189</v>
      </c>
      <c r="D677" s="2">
        <v>42639</v>
      </c>
      <c r="E677" s="1" t="s">
        <v>42</v>
      </c>
      <c r="F677" t="str">
        <f>HYPERLINK("http://www.sec.gov/Archives/edgar/data/1570440/0001193125-16-719716-index.html")</f>
        <v>http://www.sec.gov/Archives/edgar/data/1570440/0001193125-16-719716-index.html</v>
      </c>
    </row>
    <row r="678" spans="1:6" x14ac:dyDescent="0.2">
      <c r="A678" t="s">
        <v>660</v>
      </c>
      <c r="B678" s="1">
        <v>1576709</v>
      </c>
      <c r="C678" s="1">
        <v>6189</v>
      </c>
      <c r="D678" s="2">
        <v>42639</v>
      </c>
      <c r="E678" s="1" t="s">
        <v>42</v>
      </c>
      <c r="F678" t="str">
        <f>HYPERLINK("http://www.sec.gov/Archives/edgar/data/1576709/0001193125-16-719714-index.html")</f>
        <v>http://www.sec.gov/Archives/edgar/data/1576709/0001193125-16-719714-index.html</v>
      </c>
    </row>
    <row r="679" spans="1:6" x14ac:dyDescent="0.2">
      <c r="A679" t="s">
        <v>661</v>
      </c>
      <c r="B679" s="1">
        <v>1577310</v>
      </c>
      <c r="C679" s="1">
        <v>6189</v>
      </c>
      <c r="D679" s="2">
        <v>42639</v>
      </c>
      <c r="E679" s="1" t="s">
        <v>42</v>
      </c>
      <c r="F679" t="str">
        <f>HYPERLINK("http://www.sec.gov/Archives/edgar/data/1577310/0001193125-16-719783-index.html")</f>
        <v>http://www.sec.gov/Archives/edgar/data/1577310/0001193125-16-719783-index.html</v>
      </c>
    </row>
    <row r="680" spans="1:6" x14ac:dyDescent="0.2">
      <c r="A680" t="s">
        <v>662</v>
      </c>
      <c r="B680" s="1">
        <v>1652106</v>
      </c>
      <c r="C680" s="1">
        <v>6035</v>
      </c>
      <c r="D680" s="2">
        <v>42639</v>
      </c>
      <c r="E680" s="1" t="s">
        <v>18</v>
      </c>
      <c r="F680" t="str">
        <f>HYPERLINK("http://www.sec.gov/Archives/edgar/data/1652106/0001571049-16-018452-index.html")</f>
        <v>http://www.sec.gov/Archives/edgar/data/1652106/0001571049-16-018452-index.html</v>
      </c>
    </row>
    <row r="681" spans="1:6" x14ac:dyDescent="0.2">
      <c r="A681" t="s">
        <v>663</v>
      </c>
      <c r="B681" s="1">
        <v>730263</v>
      </c>
      <c r="C681" s="1">
        <v>3716</v>
      </c>
      <c r="D681" s="2">
        <v>42639</v>
      </c>
      <c r="E681" s="1" t="s">
        <v>18</v>
      </c>
      <c r="F681" t="str">
        <f>HYPERLINK("http://www.sec.gov/Archives/edgar/data/730263/0001193125-16-719899-index.html")</f>
        <v>http://www.sec.gov/Archives/edgar/data/730263/0001193125-16-719899-index.html</v>
      </c>
    </row>
    <row r="682" spans="1:6" x14ac:dyDescent="0.2">
      <c r="A682" t="s">
        <v>664</v>
      </c>
      <c r="B682" s="1">
        <v>812011</v>
      </c>
      <c r="C682" s="1">
        <v>7990</v>
      </c>
      <c r="D682" s="2">
        <v>42639</v>
      </c>
      <c r="E682" s="1" t="s">
        <v>18</v>
      </c>
      <c r="F682" t="str">
        <f>HYPERLINK("http://www.sec.gov/Archives/edgar/data/812011/0000812011-16-000115-index.html")</f>
        <v>http://www.sec.gov/Archives/edgar/data/812011/0000812011-16-000115-index.html</v>
      </c>
    </row>
    <row r="683" spans="1:6" x14ac:dyDescent="0.2">
      <c r="A683" t="s">
        <v>665</v>
      </c>
      <c r="B683" s="1">
        <v>832488</v>
      </c>
      <c r="C683" s="1">
        <v>7372</v>
      </c>
      <c r="D683" s="2">
        <v>42639</v>
      </c>
      <c r="E683" s="1" t="s">
        <v>18</v>
      </c>
      <c r="F683" t="str">
        <f>HYPERLINK("http://www.sec.gov/Archives/edgar/data/832488/0001437749-16-039131-index.html")</f>
        <v>http://www.sec.gov/Archives/edgar/data/832488/0001437749-16-039131-index.html</v>
      </c>
    </row>
    <row r="684" spans="1:6" x14ac:dyDescent="0.2">
      <c r="A684" t="s">
        <v>666</v>
      </c>
      <c r="B684" s="1">
        <v>1403570</v>
      </c>
      <c r="C684" s="1">
        <v>1000</v>
      </c>
      <c r="D684" s="2">
        <v>42636</v>
      </c>
      <c r="E684" s="1" t="s">
        <v>18</v>
      </c>
      <c r="F684" t="str">
        <f>HYPERLINK("http://www.sec.gov/Archives/edgar/data/1403570/0001493152-16-013565-index.html")</f>
        <v>http://www.sec.gov/Archives/edgar/data/1403570/0001493152-16-013565-index.html</v>
      </c>
    </row>
    <row r="685" spans="1:6" x14ac:dyDescent="0.2">
      <c r="A685" t="s">
        <v>667</v>
      </c>
      <c r="B685" s="1">
        <v>1436161</v>
      </c>
      <c r="C685" s="1">
        <v>2834</v>
      </c>
      <c r="D685" s="2">
        <v>42636</v>
      </c>
      <c r="E685" s="1" t="s">
        <v>42</v>
      </c>
      <c r="F685" t="str">
        <f>HYPERLINK("http://www.sec.gov/Archives/edgar/data/1436161/0001553350-16-002493-index.html")</f>
        <v>http://www.sec.gov/Archives/edgar/data/1436161/0001553350-16-002493-index.html</v>
      </c>
    </row>
    <row r="686" spans="1:6" x14ac:dyDescent="0.2">
      <c r="A686" t="s">
        <v>668</v>
      </c>
      <c r="B686" s="1">
        <v>1591588</v>
      </c>
      <c r="C686" s="1">
        <v>5094</v>
      </c>
      <c r="D686" s="2">
        <v>42636</v>
      </c>
      <c r="E686" s="1" t="s">
        <v>18</v>
      </c>
      <c r="F686" t="str">
        <f>HYPERLINK("http://www.sec.gov/Archives/edgar/data/1591588/0001591588-16-000181-index.html")</f>
        <v>http://www.sec.gov/Archives/edgar/data/1591588/0001591588-16-000181-index.html</v>
      </c>
    </row>
    <row r="687" spans="1:6" x14ac:dyDescent="0.2">
      <c r="A687" t="s">
        <v>669</v>
      </c>
      <c r="B687" s="1">
        <v>1600065</v>
      </c>
      <c r="C687" s="1">
        <v>6022</v>
      </c>
      <c r="D687" s="2">
        <v>42636</v>
      </c>
      <c r="E687" s="1" t="s">
        <v>18</v>
      </c>
      <c r="F687" t="str">
        <f>HYPERLINK("http://www.sec.gov/Archives/edgar/data/1600065/0001144204-16-125006-index.html")</f>
        <v>http://www.sec.gov/Archives/edgar/data/1600065/0001144204-16-125006-index.html</v>
      </c>
    </row>
    <row r="688" spans="1:6" x14ac:dyDescent="0.2">
      <c r="A688" t="s">
        <v>670</v>
      </c>
      <c r="B688" s="1">
        <v>1612253</v>
      </c>
      <c r="C688" s="1">
        <v>6770</v>
      </c>
      <c r="D688" s="2">
        <v>42636</v>
      </c>
      <c r="E688" s="1" t="s">
        <v>18</v>
      </c>
      <c r="F688" t="str">
        <f>HYPERLINK("http://www.sec.gov/Archives/edgar/data/1612253/0001144204-16-124982-index.html")</f>
        <v>http://www.sec.gov/Archives/edgar/data/1612253/0001144204-16-124982-index.html</v>
      </c>
    </row>
    <row r="689" spans="1:6" x14ac:dyDescent="0.2">
      <c r="A689" t="s">
        <v>671</v>
      </c>
      <c r="B689" s="1">
        <v>29644</v>
      </c>
      <c r="C689" s="1">
        <v>3564</v>
      </c>
      <c r="D689" s="2">
        <v>42636</v>
      </c>
      <c r="E689" s="1" t="s">
        <v>18</v>
      </c>
      <c r="F689" t="str">
        <f>HYPERLINK("http://www.sec.gov/Archives/edgar/data/29644/0001628280-16-019746-index.html")</f>
        <v>http://www.sec.gov/Archives/edgar/data/29644/0001628280-16-019746-index.html</v>
      </c>
    </row>
    <row r="690" spans="1:6" x14ac:dyDescent="0.2">
      <c r="A690" t="s">
        <v>672</v>
      </c>
      <c r="B690" s="1">
        <v>62362</v>
      </c>
      <c r="C690" s="1">
        <v>6792</v>
      </c>
      <c r="D690" s="2">
        <v>42636</v>
      </c>
      <c r="E690" s="1" t="s">
        <v>18</v>
      </c>
      <c r="F690" t="str">
        <f>HYPERLINK("http://www.sec.gov/Archives/edgar/data/62362/0001193125-16-718322-index.html")</f>
        <v>http://www.sec.gov/Archives/edgar/data/62362/0001193125-16-718322-index.html</v>
      </c>
    </row>
    <row r="691" spans="1:6" x14ac:dyDescent="0.2">
      <c r="A691" t="s">
        <v>673</v>
      </c>
      <c r="B691" s="1">
        <v>718332</v>
      </c>
      <c r="C691" s="1">
        <v>5140</v>
      </c>
      <c r="D691" s="2">
        <v>42636</v>
      </c>
      <c r="E691" s="1" t="s">
        <v>18</v>
      </c>
      <c r="F691" t="str">
        <f>HYPERLINK("http://www.sec.gov/Archives/edgar/data/718332/0001010549-16-000713-index.html")</f>
        <v>http://www.sec.gov/Archives/edgar/data/718332/0001010549-16-000713-index.html</v>
      </c>
    </row>
    <row r="692" spans="1:6" x14ac:dyDescent="0.2">
      <c r="A692" t="s">
        <v>674</v>
      </c>
      <c r="B692" s="1">
        <v>874710</v>
      </c>
      <c r="C692" s="1">
        <v>3842</v>
      </c>
      <c r="D692" s="2">
        <v>42636</v>
      </c>
      <c r="E692" s="1" t="s">
        <v>18</v>
      </c>
      <c r="F692" t="str">
        <f>HYPERLINK("http://www.sec.gov/Archives/edgar/data/874710/0001144204-16-125029-index.html")</f>
        <v>http://www.sec.gov/Archives/edgar/data/874710/0001144204-16-125029-index.html</v>
      </c>
    </row>
    <row r="693" spans="1:6" x14ac:dyDescent="0.2">
      <c r="A693" t="s">
        <v>675</v>
      </c>
      <c r="B693" s="1">
        <v>945828</v>
      </c>
      <c r="C693" s="1">
        <v>3011</v>
      </c>
      <c r="D693" s="2">
        <v>42636</v>
      </c>
      <c r="E693" s="1" t="s">
        <v>18</v>
      </c>
      <c r="F693" t="str">
        <f>HYPERLINK("http://www.sec.gov/Archives/edgar/data/945828/0001185185-16-005484-index.html")</f>
        <v>http://www.sec.gov/Archives/edgar/data/945828/0001185185-16-005484-index.html</v>
      </c>
    </row>
    <row r="694" spans="1:6" x14ac:dyDescent="0.2">
      <c r="A694" t="s">
        <v>676</v>
      </c>
      <c r="B694" s="1">
        <v>1006830</v>
      </c>
      <c r="C694" s="1">
        <v>6021</v>
      </c>
      <c r="D694" s="2">
        <v>42635</v>
      </c>
      <c r="E694" s="1" t="s">
        <v>18</v>
      </c>
      <c r="F694" t="str">
        <f>HYPERLINK("http://www.sec.gov/Archives/edgar/data/1006830/0001437749-16-039025-index.html")</f>
        <v>http://www.sec.gov/Archives/edgar/data/1006830/0001437749-16-039025-index.html</v>
      </c>
    </row>
    <row r="695" spans="1:6" x14ac:dyDescent="0.2">
      <c r="A695" t="s">
        <v>677</v>
      </c>
      <c r="B695" s="1">
        <v>1223862</v>
      </c>
      <c r="C695" s="1">
        <v>7374</v>
      </c>
      <c r="D695" s="2">
        <v>42635</v>
      </c>
      <c r="E695" s="1" t="s">
        <v>18</v>
      </c>
      <c r="F695" t="str">
        <f>HYPERLINK("http://www.sec.gov/Archives/edgar/data/1223862/0001223862-16-000094-index.html")</f>
        <v>http://www.sec.gov/Archives/edgar/data/1223862/0001223862-16-000094-index.html</v>
      </c>
    </row>
    <row r="696" spans="1:6" x14ac:dyDescent="0.2">
      <c r="A696" t="s">
        <v>210</v>
      </c>
      <c r="B696" s="1">
        <v>1550913</v>
      </c>
      <c r="C696" s="1">
        <v>6199</v>
      </c>
      <c r="D696" s="2">
        <v>42635</v>
      </c>
      <c r="E696" s="1" t="s">
        <v>18</v>
      </c>
      <c r="F696" t="str">
        <f>HYPERLINK("http://www.sec.gov/Archives/edgar/data/1550913/0001550913-16-000177-index.html")</f>
        <v>http://www.sec.gov/Archives/edgar/data/1550913/0001550913-16-000177-index.html</v>
      </c>
    </row>
    <row r="697" spans="1:6" x14ac:dyDescent="0.2">
      <c r="A697" t="s">
        <v>678</v>
      </c>
      <c r="B697" s="1">
        <v>16732</v>
      </c>
      <c r="C697" s="1">
        <v>2000</v>
      </c>
      <c r="D697" s="2">
        <v>42635</v>
      </c>
      <c r="E697" s="1" t="s">
        <v>18</v>
      </c>
      <c r="F697" t="str">
        <f>HYPERLINK("http://www.sec.gov/Archives/edgar/data/16732/0000016732-16-000146-index.html")</f>
        <v>http://www.sec.gov/Archives/edgar/data/16732/0000016732-16-000146-index.html</v>
      </c>
    </row>
    <row r="698" spans="1:6" x14ac:dyDescent="0.2">
      <c r="A698" t="s">
        <v>679</v>
      </c>
      <c r="B698" s="1">
        <v>793171</v>
      </c>
      <c r="C698" s="1">
        <v>2836</v>
      </c>
      <c r="D698" s="2">
        <v>42635</v>
      </c>
      <c r="E698" s="1" t="s">
        <v>18</v>
      </c>
      <c r="F698" t="str">
        <f>HYPERLINK("http://www.sec.gov/Archives/edgar/data/793171/0001376474-16-000845-index.html")</f>
        <v>http://www.sec.gov/Archives/edgar/data/793171/0001376474-16-000845-index.html</v>
      </c>
    </row>
    <row r="699" spans="1:6" x14ac:dyDescent="0.2">
      <c r="A699" t="s">
        <v>461</v>
      </c>
      <c r="B699" s="1">
        <v>937136</v>
      </c>
      <c r="C699" s="1">
        <v>1311</v>
      </c>
      <c r="D699" s="2">
        <v>42635</v>
      </c>
      <c r="E699" s="1" t="s">
        <v>18</v>
      </c>
      <c r="F699" t="str">
        <f>HYPERLINK("http://www.sec.gov/Archives/edgar/data/937136/0001047469-16-015631-index.html")</f>
        <v>http://www.sec.gov/Archives/edgar/data/937136/0001047469-16-015631-index.html</v>
      </c>
    </row>
    <row r="700" spans="1:6" x14ac:dyDescent="0.2">
      <c r="A700" t="s">
        <v>680</v>
      </c>
      <c r="B700" s="1">
        <v>1095130</v>
      </c>
      <c r="C700" s="1">
        <v>7389</v>
      </c>
      <c r="D700" s="2">
        <v>42634</v>
      </c>
      <c r="E700" s="1" t="s">
        <v>18</v>
      </c>
      <c r="F700" t="str">
        <f>HYPERLINK("http://www.sec.gov/Archives/edgar/data/1095130/0001615774-16-007303-index.html")</f>
        <v>http://www.sec.gov/Archives/edgar/data/1095130/0001615774-16-007303-index.html</v>
      </c>
    </row>
    <row r="701" spans="1:6" x14ac:dyDescent="0.2">
      <c r="A701" t="s">
        <v>560</v>
      </c>
      <c r="B701" s="1">
        <v>1553788</v>
      </c>
      <c r="C701" s="1">
        <v>8082</v>
      </c>
      <c r="D701" s="2">
        <v>42634</v>
      </c>
      <c r="E701" s="1" t="s">
        <v>18</v>
      </c>
      <c r="F701" t="str">
        <f>HYPERLINK("http://www.sec.gov/Archives/edgar/data/1553788/0001079973-16-001195-index.html")</f>
        <v>http://www.sec.gov/Archives/edgar/data/1553788/0001079973-16-001195-index.html</v>
      </c>
    </row>
    <row r="702" spans="1:6" x14ac:dyDescent="0.2">
      <c r="A702" t="s">
        <v>681</v>
      </c>
      <c r="B702" s="1">
        <v>811212</v>
      </c>
      <c r="C702" s="1">
        <v>3821</v>
      </c>
      <c r="D702" s="2">
        <v>42634</v>
      </c>
      <c r="E702" s="1" t="s">
        <v>18</v>
      </c>
      <c r="F702" t="str">
        <f>HYPERLINK("http://www.sec.gov/Archives/edgar/data/811212/0001437749-16-038939-index.html")</f>
        <v>http://www.sec.gov/Archives/edgar/data/811212/0001437749-16-038939-index.html</v>
      </c>
    </row>
    <row r="703" spans="1:6" x14ac:dyDescent="0.2">
      <c r="A703" t="s">
        <v>682</v>
      </c>
      <c r="B703" s="1">
        <v>1333519</v>
      </c>
      <c r="C703" s="1">
        <v>1311</v>
      </c>
      <c r="D703" s="2">
        <v>42633</v>
      </c>
      <c r="E703" s="1" t="s">
        <v>18</v>
      </c>
      <c r="F703" t="str">
        <f>HYPERLINK("http://www.sec.gov/Archives/edgar/data/1333519/0001477932-16-012604-index.html")</f>
        <v>http://www.sec.gov/Archives/edgar/data/1333519/0001477932-16-012604-index.html</v>
      </c>
    </row>
    <row r="704" spans="1:6" x14ac:dyDescent="0.2">
      <c r="A704" t="s">
        <v>683</v>
      </c>
      <c r="B704" s="1">
        <v>1445815</v>
      </c>
      <c r="C704" s="1">
        <v>5150</v>
      </c>
      <c r="D704" s="2">
        <v>42633</v>
      </c>
      <c r="E704" s="1" t="s">
        <v>42</v>
      </c>
      <c r="F704" t="str">
        <f>HYPERLINK("http://www.sec.gov/Archives/edgar/data/1445815/0001213900-16-016898-index.html")</f>
        <v>http://www.sec.gov/Archives/edgar/data/1445815/0001213900-16-016898-index.html</v>
      </c>
    </row>
    <row r="705" spans="1:6" x14ac:dyDescent="0.2">
      <c r="A705" t="s">
        <v>684</v>
      </c>
      <c r="B705" s="1">
        <v>1471968</v>
      </c>
      <c r="C705" s="1">
        <v>2834</v>
      </c>
      <c r="D705" s="2">
        <v>42633</v>
      </c>
      <c r="E705" s="1" t="s">
        <v>18</v>
      </c>
      <c r="F705" t="str">
        <f>HYPERLINK("http://www.sec.gov/Archives/edgar/data/1471968/0001471968-16-000013-index.html")</f>
        <v>http://www.sec.gov/Archives/edgar/data/1471968/0001471968-16-000013-index.html</v>
      </c>
    </row>
    <row r="706" spans="1:6" x14ac:dyDescent="0.2">
      <c r="A706" t="s">
        <v>685</v>
      </c>
      <c r="B706" s="1">
        <v>1493174</v>
      </c>
      <c r="C706" s="1">
        <v>4950</v>
      </c>
      <c r="D706" s="2">
        <v>42633</v>
      </c>
      <c r="E706" s="1" t="s">
        <v>18</v>
      </c>
      <c r="F706" t="str">
        <f>HYPERLINK("http://www.sec.gov/Archives/edgar/data/1493174/0001493152-16-013457-index.html")</f>
        <v>http://www.sec.gov/Archives/edgar/data/1493174/0001493152-16-013457-index.html</v>
      </c>
    </row>
    <row r="707" spans="1:6" x14ac:dyDescent="0.2">
      <c r="A707" t="s">
        <v>686</v>
      </c>
      <c r="B707" s="1">
        <v>65312</v>
      </c>
      <c r="C707" s="1">
        <v>7200</v>
      </c>
      <c r="D707" s="2">
        <v>42633</v>
      </c>
      <c r="E707" s="1" t="s">
        <v>18</v>
      </c>
      <c r="F707" t="str">
        <f>HYPERLINK("http://www.sec.gov/Archives/edgar/data/65312/0001174947-16-003153-index.html")</f>
        <v>http://www.sec.gov/Archives/edgar/data/65312/0001174947-16-003153-index.html</v>
      </c>
    </row>
    <row r="708" spans="1:6" x14ac:dyDescent="0.2">
      <c r="A708" t="s">
        <v>422</v>
      </c>
      <c r="B708" s="1">
        <v>1084370</v>
      </c>
      <c r="C708" s="1">
        <v>7389</v>
      </c>
      <c r="D708" s="2">
        <v>42632</v>
      </c>
      <c r="E708" s="1" t="s">
        <v>18</v>
      </c>
      <c r="F708" t="str">
        <f>HYPERLINK("http://www.sec.gov/Archives/edgar/data/1084370/0001477932-16-012575-index.html")</f>
        <v>http://www.sec.gov/Archives/edgar/data/1084370/0001477932-16-012575-index.html</v>
      </c>
    </row>
    <row r="709" spans="1:6" x14ac:dyDescent="0.2">
      <c r="A709" t="s">
        <v>687</v>
      </c>
      <c r="B709" s="1">
        <v>1422222</v>
      </c>
      <c r="C709" s="1">
        <v>4899</v>
      </c>
      <c r="D709" s="2">
        <v>42632</v>
      </c>
      <c r="E709" s="1" t="s">
        <v>42</v>
      </c>
      <c r="F709" t="str">
        <f>HYPERLINK("http://www.sec.gov/Archives/edgar/data/1422222/0001615774-16-007246-index.html")</f>
        <v>http://www.sec.gov/Archives/edgar/data/1422222/0001615774-16-007246-index.html</v>
      </c>
    </row>
    <row r="710" spans="1:6" x14ac:dyDescent="0.2">
      <c r="A710" t="s">
        <v>687</v>
      </c>
      <c r="B710" s="1">
        <v>1422222</v>
      </c>
      <c r="C710" s="1">
        <v>4899</v>
      </c>
      <c r="D710" s="2">
        <v>42632</v>
      </c>
      <c r="E710" s="1" t="s">
        <v>18</v>
      </c>
      <c r="F710" t="str">
        <f>HYPERLINK("http://www.sec.gov/Archives/edgar/data/1422222/0001615774-16-007248-index.html")</f>
        <v>http://www.sec.gov/Archives/edgar/data/1422222/0001615774-16-007248-index.html</v>
      </c>
    </row>
    <row r="711" spans="1:6" x14ac:dyDescent="0.2">
      <c r="A711" t="s">
        <v>688</v>
      </c>
      <c r="B711" s="1">
        <v>1422892</v>
      </c>
      <c r="C711" s="1">
        <v>4731</v>
      </c>
      <c r="D711" s="2">
        <v>42632</v>
      </c>
      <c r="E711" s="1" t="s">
        <v>18</v>
      </c>
      <c r="F711" t="str">
        <f>HYPERLINK("http://www.sec.gov/Archives/edgar/data/1422892/0001144204-16-124426-index.html")</f>
        <v>http://www.sec.gov/Archives/edgar/data/1422892/0001144204-16-124426-index.html</v>
      </c>
    </row>
    <row r="712" spans="1:6" x14ac:dyDescent="0.2">
      <c r="A712" t="s">
        <v>689</v>
      </c>
      <c r="B712" s="1">
        <v>1497033</v>
      </c>
      <c r="C712" s="1">
        <v>6770</v>
      </c>
      <c r="D712" s="2">
        <v>42632</v>
      </c>
      <c r="E712" s="1" t="s">
        <v>18</v>
      </c>
      <c r="F712" t="str">
        <f>HYPERLINK("http://www.sec.gov/Archives/edgar/data/1497033/0001213900-16-016868-index.html")</f>
        <v>http://www.sec.gov/Archives/edgar/data/1497033/0001213900-16-016868-index.html</v>
      </c>
    </row>
    <row r="713" spans="1:6" x14ac:dyDescent="0.2">
      <c r="A713" t="s">
        <v>690</v>
      </c>
      <c r="B713" s="1">
        <v>1498301</v>
      </c>
      <c r="C713" s="1">
        <v>5600</v>
      </c>
      <c r="D713" s="2">
        <v>42632</v>
      </c>
      <c r="E713" s="1" t="s">
        <v>18</v>
      </c>
      <c r="F713" t="str">
        <f>HYPERLINK("http://www.sec.gov/Archives/edgar/data/1498301/0001498301-16-000157-index.html")</f>
        <v>http://www.sec.gov/Archives/edgar/data/1498301/0001498301-16-000157-index.html</v>
      </c>
    </row>
    <row r="714" spans="1:6" x14ac:dyDescent="0.2">
      <c r="A714" t="s">
        <v>691</v>
      </c>
      <c r="B714" s="1">
        <v>1619096</v>
      </c>
      <c r="C714" s="1">
        <v>3231</v>
      </c>
      <c r="D714" s="2">
        <v>42632</v>
      </c>
      <c r="E714" s="1" t="s">
        <v>18</v>
      </c>
      <c r="F714" t="str">
        <f>HYPERLINK("http://www.sec.gov/Archives/edgar/data/1619096/0001477932-16-012579-index.html")</f>
        <v>http://www.sec.gov/Archives/edgar/data/1619096/0001477932-16-012579-index.html</v>
      </c>
    </row>
    <row r="715" spans="1:6" x14ac:dyDescent="0.2">
      <c r="A715" t="s">
        <v>692</v>
      </c>
      <c r="B715" s="1">
        <v>1628468</v>
      </c>
      <c r="C715" s="1">
        <v>5400</v>
      </c>
      <c r="D715" s="2">
        <v>42632</v>
      </c>
      <c r="E715" s="1" t="s">
        <v>21</v>
      </c>
      <c r="F715" t="str">
        <f>HYPERLINK("http://www.sec.gov/Archives/edgar/data/1628468/0001493152-16-013426-index.html")</f>
        <v>http://www.sec.gov/Archives/edgar/data/1628468/0001493152-16-013426-index.html</v>
      </c>
    </row>
    <row r="716" spans="1:6" x14ac:dyDescent="0.2">
      <c r="A716" t="s">
        <v>693</v>
      </c>
      <c r="B716" s="1">
        <v>787253</v>
      </c>
      <c r="C716" s="1">
        <v>2833</v>
      </c>
      <c r="D716" s="2">
        <v>42632</v>
      </c>
      <c r="E716" s="1" t="s">
        <v>18</v>
      </c>
      <c r="F716" t="str">
        <f>HYPERLINK("http://www.sec.gov/Archives/edgar/data/787253/0001437749-16-038893-index.html")</f>
        <v>http://www.sec.gov/Archives/edgar/data/787253/0001437749-16-038893-index.html</v>
      </c>
    </row>
    <row r="717" spans="1:6" x14ac:dyDescent="0.2">
      <c r="A717" t="s">
        <v>694</v>
      </c>
      <c r="B717" s="1">
        <v>875729</v>
      </c>
      <c r="C717" s="1">
        <v>2870</v>
      </c>
      <c r="D717" s="2">
        <v>42632</v>
      </c>
      <c r="E717" s="1" t="s">
        <v>18</v>
      </c>
      <c r="F717" t="str">
        <f>HYPERLINK("http://www.sec.gov/Archives/edgar/data/875729/0000948830-16-000132-index.html")</f>
        <v>http://www.sec.gov/Archives/edgar/data/875729/0000948830-16-000132-index.html</v>
      </c>
    </row>
    <row r="718" spans="1:6" x14ac:dyDescent="0.2">
      <c r="A718" t="s">
        <v>695</v>
      </c>
      <c r="B718" s="1">
        <v>911216</v>
      </c>
      <c r="C718" s="1">
        <v>2834</v>
      </c>
      <c r="D718" s="2">
        <v>42632</v>
      </c>
      <c r="E718" s="1" t="s">
        <v>18</v>
      </c>
      <c r="F718" t="str">
        <f>HYPERLINK("http://www.sec.gov/Archives/edgar/data/911216/0001654954-16-002272-index.html")</f>
        <v>http://www.sec.gov/Archives/edgar/data/911216/0001654954-16-002272-index.html</v>
      </c>
    </row>
    <row r="719" spans="1:6" x14ac:dyDescent="0.2">
      <c r="A719" t="s">
        <v>696</v>
      </c>
      <c r="B719" s="1">
        <v>1084869</v>
      </c>
      <c r="C719" s="1">
        <v>5990</v>
      </c>
      <c r="D719" s="2">
        <v>42629</v>
      </c>
      <c r="E719" s="1" t="s">
        <v>18</v>
      </c>
      <c r="F719" t="str">
        <f>HYPERLINK("http://www.sec.gov/Archives/edgar/data/1084869/0001437749-16-038804-index.html")</f>
        <v>http://www.sec.gov/Archives/edgar/data/1084869/0001437749-16-038804-index.html</v>
      </c>
    </row>
    <row r="720" spans="1:6" x14ac:dyDescent="0.2">
      <c r="A720" t="s">
        <v>697</v>
      </c>
      <c r="B720" s="1">
        <v>1175416</v>
      </c>
      <c r="C720" s="1">
        <v>1400</v>
      </c>
      <c r="D720" s="2">
        <v>42629</v>
      </c>
      <c r="E720" s="1" t="s">
        <v>18</v>
      </c>
      <c r="F720" t="str">
        <f>HYPERLINK("http://www.sec.gov/Archives/edgar/data/1175416/0001175416-16-000016-index.html")</f>
        <v>http://www.sec.gov/Archives/edgar/data/1175416/0001175416-16-000016-index.html</v>
      </c>
    </row>
    <row r="721" spans="1:6" x14ac:dyDescent="0.2">
      <c r="A721" t="s">
        <v>698</v>
      </c>
      <c r="B721" s="1">
        <v>1379006</v>
      </c>
      <c r="C721" s="1">
        <v>8731</v>
      </c>
      <c r="D721" s="2">
        <v>42629</v>
      </c>
      <c r="E721" s="1" t="s">
        <v>18</v>
      </c>
      <c r="F721" t="str">
        <f>HYPERLINK("http://www.sec.gov/Archives/edgar/data/1379006/0001144204-16-124276-index.html")</f>
        <v>http://www.sec.gov/Archives/edgar/data/1379006/0001144204-16-124276-index.html</v>
      </c>
    </row>
    <row r="722" spans="1:6" x14ac:dyDescent="0.2">
      <c r="A722" t="s">
        <v>699</v>
      </c>
      <c r="B722" s="1">
        <v>1398797</v>
      </c>
      <c r="C722" s="1">
        <v>7819</v>
      </c>
      <c r="D722" s="2">
        <v>42629</v>
      </c>
      <c r="E722" s="1" t="s">
        <v>18</v>
      </c>
      <c r="F722" t="str">
        <f>HYPERLINK("http://www.sec.gov/Archives/edgar/data/1398797/0001144204-16-124234-index.html")</f>
        <v>http://www.sec.gov/Archives/edgar/data/1398797/0001144204-16-124234-index.html</v>
      </c>
    </row>
    <row r="723" spans="1:6" x14ac:dyDescent="0.2">
      <c r="A723" t="s">
        <v>700</v>
      </c>
      <c r="B723" s="1">
        <v>1514743</v>
      </c>
      <c r="C723" s="1">
        <v>6035</v>
      </c>
      <c r="D723" s="2">
        <v>42629</v>
      </c>
      <c r="E723" s="1" t="s">
        <v>18</v>
      </c>
      <c r="F723" t="str">
        <f>HYPERLINK("http://www.sec.gov/Archives/edgar/data/1514743/0001193125-16-711829-index.html")</f>
        <v>http://www.sec.gov/Archives/edgar/data/1514743/0001193125-16-711829-index.html</v>
      </c>
    </row>
    <row r="724" spans="1:6" x14ac:dyDescent="0.2">
      <c r="A724" t="s">
        <v>561</v>
      </c>
      <c r="B724" s="1">
        <v>1574969</v>
      </c>
      <c r="C724" s="1">
        <v>3679</v>
      </c>
      <c r="D724" s="2">
        <v>42629</v>
      </c>
      <c r="E724" s="1" t="s">
        <v>42</v>
      </c>
      <c r="F724" t="str">
        <f>HYPERLINK("http://www.sec.gov/Archives/edgar/data/1574969/0001144204-16-124259-index.html")</f>
        <v>http://www.sec.gov/Archives/edgar/data/1574969/0001144204-16-124259-index.html</v>
      </c>
    </row>
    <row r="725" spans="1:6" x14ac:dyDescent="0.2">
      <c r="A725" t="s">
        <v>701</v>
      </c>
      <c r="B725" s="1">
        <v>357020</v>
      </c>
      <c r="C725" s="1">
        <v>3825</v>
      </c>
      <c r="D725" s="2">
        <v>42629</v>
      </c>
      <c r="E725" s="1" t="s">
        <v>18</v>
      </c>
      <c r="F725" t="str">
        <f>HYPERLINK("http://www.sec.gov/Archives/edgar/data/357020/0001193125-16-712292-index.html")</f>
        <v>http://www.sec.gov/Archives/edgar/data/357020/0001193125-16-712292-index.html</v>
      </c>
    </row>
    <row r="726" spans="1:6" x14ac:dyDescent="0.2">
      <c r="A726" t="s">
        <v>702</v>
      </c>
      <c r="B726" s="1">
        <v>1039280</v>
      </c>
      <c r="C726" s="1">
        <v>7372</v>
      </c>
      <c r="D726" s="2">
        <v>42628</v>
      </c>
      <c r="E726" s="1" t="s">
        <v>18</v>
      </c>
      <c r="F726" t="str">
        <f>HYPERLINK("http://www.sec.gov/Archives/edgar/data/1039280/0001493152-16-013366-index.html")</f>
        <v>http://www.sec.gov/Archives/edgar/data/1039280/0001493152-16-013366-index.html</v>
      </c>
    </row>
    <row r="727" spans="1:6" x14ac:dyDescent="0.2">
      <c r="A727" t="s">
        <v>703</v>
      </c>
      <c r="B727" s="1">
        <v>1477246</v>
      </c>
      <c r="C727" s="1">
        <v>100</v>
      </c>
      <c r="D727" s="2">
        <v>42628</v>
      </c>
      <c r="E727" s="1" t="s">
        <v>18</v>
      </c>
      <c r="F727" t="str">
        <f>HYPERLINK("http://www.sec.gov/Archives/edgar/data/1477246/0001136261-16-000620-index.html")</f>
        <v>http://www.sec.gov/Archives/edgar/data/1477246/0001136261-16-000620-index.html</v>
      </c>
    </row>
    <row r="728" spans="1:6" x14ac:dyDescent="0.2">
      <c r="A728" t="s">
        <v>704</v>
      </c>
      <c r="B728" s="1">
        <v>1495899</v>
      </c>
      <c r="C728" s="1">
        <v>3714</v>
      </c>
      <c r="D728" s="2">
        <v>42628</v>
      </c>
      <c r="E728" s="1" t="s">
        <v>18</v>
      </c>
      <c r="F728" t="str">
        <f>HYPERLINK("http://www.sec.gov/Archives/edgar/data/1495899/0001493152-16-013368-index.html")</f>
        <v>http://www.sec.gov/Archives/edgar/data/1495899/0001493152-16-013368-index.html</v>
      </c>
    </row>
    <row r="729" spans="1:6" x14ac:dyDescent="0.2">
      <c r="A729" t="s">
        <v>705</v>
      </c>
      <c r="B729" s="1">
        <v>1528396</v>
      </c>
      <c r="C729" s="1">
        <v>7372</v>
      </c>
      <c r="D729" s="2">
        <v>42628</v>
      </c>
      <c r="E729" s="1" t="s">
        <v>18</v>
      </c>
      <c r="F729" t="str">
        <f>HYPERLINK("http://www.sec.gov/Archives/edgar/data/1528396/0001528396-16-000056-index.html")</f>
        <v>http://www.sec.gov/Archives/edgar/data/1528396/0001528396-16-000056-index.html</v>
      </c>
    </row>
    <row r="730" spans="1:6" x14ac:dyDescent="0.2">
      <c r="A730" t="s">
        <v>706</v>
      </c>
      <c r="B730" s="1">
        <v>1604028</v>
      </c>
      <c r="C730" s="1">
        <v>3086</v>
      </c>
      <c r="D730" s="2">
        <v>42628</v>
      </c>
      <c r="E730" s="1" t="s">
        <v>18</v>
      </c>
      <c r="F730" t="str">
        <f>HYPERLINK("http://www.sec.gov/Archives/edgar/data/1604028/0001193125-16-711072-index.html")</f>
        <v>http://www.sec.gov/Archives/edgar/data/1604028/0001193125-16-711072-index.html</v>
      </c>
    </row>
    <row r="731" spans="1:6" x14ac:dyDescent="0.2">
      <c r="A731" t="s">
        <v>707</v>
      </c>
      <c r="B731" s="1">
        <v>746598</v>
      </c>
      <c r="C731" s="1">
        <v>3990</v>
      </c>
      <c r="D731" s="2">
        <v>42628</v>
      </c>
      <c r="E731" s="1" t="s">
        <v>18</v>
      </c>
      <c r="F731" t="str">
        <f>HYPERLINK("http://www.sec.gov/Archives/edgar/data/746598/0000746598-16-000273-index.html")</f>
        <v>http://www.sec.gov/Archives/edgar/data/746598/0000746598-16-000273-index.html</v>
      </c>
    </row>
    <row r="732" spans="1:6" x14ac:dyDescent="0.2">
      <c r="A732" t="s">
        <v>708</v>
      </c>
      <c r="B732" s="1">
        <v>788920</v>
      </c>
      <c r="C732" s="1">
        <v>3841</v>
      </c>
      <c r="D732" s="2">
        <v>42628</v>
      </c>
      <c r="E732" s="1" t="s">
        <v>18</v>
      </c>
      <c r="F732" t="str">
        <f>HYPERLINK("http://www.sec.gov/Archives/edgar/data/788920/0001534424-16-001027-index.html")</f>
        <v>http://www.sec.gov/Archives/edgar/data/788920/0001534424-16-001027-index.html</v>
      </c>
    </row>
    <row r="733" spans="1:6" x14ac:dyDescent="0.2">
      <c r="A733" t="s">
        <v>709</v>
      </c>
      <c r="B733" s="1">
        <v>889971</v>
      </c>
      <c r="C733" s="1">
        <v>3674</v>
      </c>
      <c r="D733" s="2">
        <v>42628</v>
      </c>
      <c r="E733" s="1" t="s">
        <v>18</v>
      </c>
      <c r="F733" t="str">
        <f>HYPERLINK("http://www.sec.gov/Archives/edgar/data/889971/0001387131-16-006998-index.html")</f>
        <v>http://www.sec.gov/Archives/edgar/data/889971/0001387131-16-006998-index.html</v>
      </c>
    </row>
    <row r="734" spans="1:6" x14ac:dyDescent="0.2">
      <c r="A734" t="s">
        <v>710</v>
      </c>
      <c r="B734" s="1">
        <v>910679</v>
      </c>
      <c r="C734" s="1">
        <v>6036</v>
      </c>
      <c r="D734" s="2">
        <v>42628</v>
      </c>
      <c r="E734" s="1" t="s">
        <v>18</v>
      </c>
      <c r="F734" t="str">
        <f>HYPERLINK("http://www.sec.gov/Archives/edgar/data/910679/0001193125-16-711071-index.html")</f>
        <v>http://www.sec.gov/Archives/edgar/data/910679/0001193125-16-711071-index.html</v>
      </c>
    </row>
    <row r="735" spans="1:6" x14ac:dyDescent="0.2">
      <c r="A735" t="s">
        <v>711</v>
      </c>
      <c r="B735" s="1">
        <v>1082506</v>
      </c>
      <c r="C735" s="1">
        <v>7372</v>
      </c>
      <c r="D735" s="2">
        <v>42627</v>
      </c>
      <c r="E735" s="1" t="s">
        <v>18</v>
      </c>
      <c r="F735" t="str">
        <f>HYPERLINK("http://www.sec.gov/Archives/edgar/data/1082506/0001558370-16-008344-index.html")</f>
        <v>http://www.sec.gov/Archives/edgar/data/1082506/0001558370-16-008344-index.html</v>
      </c>
    </row>
    <row r="736" spans="1:6" x14ac:dyDescent="0.2">
      <c r="A736" t="s">
        <v>712</v>
      </c>
      <c r="B736" s="1">
        <v>34563</v>
      </c>
      <c r="C736" s="1">
        <v>2090</v>
      </c>
      <c r="D736" s="2">
        <v>42627</v>
      </c>
      <c r="E736" s="1" t="s">
        <v>18</v>
      </c>
      <c r="F736" t="str">
        <f>HYPERLINK("http://www.sec.gov/Archives/edgar/data/34563/0000034563-16-000127-index.html")</f>
        <v>http://www.sec.gov/Archives/edgar/data/34563/0000034563-16-000127-index.html</v>
      </c>
    </row>
    <row r="737" spans="1:6" x14ac:dyDescent="0.2">
      <c r="A737" t="s">
        <v>469</v>
      </c>
      <c r="B737" s="1">
        <v>61398</v>
      </c>
      <c r="C737" s="1">
        <v>1311</v>
      </c>
      <c r="D737" s="2">
        <v>42627</v>
      </c>
      <c r="E737" s="1" t="s">
        <v>18</v>
      </c>
      <c r="F737" t="str">
        <f>HYPERLINK("http://www.sec.gov/Archives/edgar/data/61398/0000061398-16-000098-index.html")</f>
        <v>http://www.sec.gov/Archives/edgar/data/61398/0000061398-16-000098-index.html</v>
      </c>
    </row>
    <row r="738" spans="1:6" x14ac:dyDescent="0.2">
      <c r="A738" t="s">
        <v>713</v>
      </c>
      <c r="B738" s="1">
        <v>754811</v>
      </c>
      <c r="C738" s="1">
        <v>6282</v>
      </c>
      <c r="D738" s="2">
        <v>42627</v>
      </c>
      <c r="E738" s="1" t="s">
        <v>18</v>
      </c>
      <c r="F738" t="str">
        <f>HYPERLINK("http://www.sec.gov/Archives/edgar/data/754811/0001185185-16-005432-index.html")</f>
        <v>http://www.sec.gov/Archives/edgar/data/754811/0001185185-16-005432-index.html</v>
      </c>
    </row>
    <row r="739" spans="1:6" x14ac:dyDescent="0.2">
      <c r="A739" t="s">
        <v>714</v>
      </c>
      <c r="B739" s="1">
        <v>835662</v>
      </c>
      <c r="C739" s="1">
        <v>8200</v>
      </c>
      <c r="D739" s="2">
        <v>42627</v>
      </c>
      <c r="E739" s="1" t="s">
        <v>42</v>
      </c>
      <c r="F739" t="str">
        <f>HYPERLINK("http://www.sec.gov/Archives/edgar/data/835662/0001493152-16-013314-index.html")</f>
        <v>http://www.sec.gov/Archives/edgar/data/835662/0001493152-16-013314-index.html</v>
      </c>
    </row>
    <row r="740" spans="1:6" x14ac:dyDescent="0.2">
      <c r="A740" t="s">
        <v>715</v>
      </c>
      <c r="B740" s="1">
        <v>100378</v>
      </c>
      <c r="C740" s="1">
        <v>3560</v>
      </c>
      <c r="D740" s="2">
        <v>42626</v>
      </c>
      <c r="E740" s="1" t="s">
        <v>18</v>
      </c>
      <c r="F740" t="str">
        <f>HYPERLINK("http://www.sec.gov/Archives/edgar/data/100378/0001437749-16-038597-index.html")</f>
        <v>http://www.sec.gov/Archives/edgar/data/100378/0001437749-16-038597-index.html</v>
      </c>
    </row>
    <row r="741" spans="1:6" x14ac:dyDescent="0.2">
      <c r="A741" t="s">
        <v>716</v>
      </c>
      <c r="B741" s="1">
        <v>1066194</v>
      </c>
      <c r="C741" s="1">
        <v>7372</v>
      </c>
      <c r="D741" s="2">
        <v>42626</v>
      </c>
      <c r="E741" s="1" t="s">
        <v>18</v>
      </c>
      <c r="F741" t="str">
        <f>HYPERLINK("http://www.sec.gov/Archives/edgar/data/1066194/0001558370-16-008328-index.html")</f>
        <v>http://www.sec.gov/Archives/edgar/data/1066194/0001558370-16-008328-index.html</v>
      </c>
    </row>
    <row r="742" spans="1:6" x14ac:dyDescent="0.2">
      <c r="A742" t="s">
        <v>717</v>
      </c>
      <c r="B742" s="1">
        <v>1171155</v>
      </c>
      <c r="C742" s="1">
        <v>4731</v>
      </c>
      <c r="D742" s="2">
        <v>42626</v>
      </c>
      <c r="E742" s="1" t="s">
        <v>18</v>
      </c>
      <c r="F742" t="str">
        <f>HYPERLINK("http://www.sec.gov/Archives/edgar/data/1171155/0001564590-16-025164-index.html")</f>
        <v>http://www.sec.gov/Archives/edgar/data/1171155/0001564590-16-025164-index.html</v>
      </c>
    </row>
    <row r="743" spans="1:6" x14ac:dyDescent="0.2">
      <c r="A743" t="s">
        <v>718</v>
      </c>
      <c r="B743" s="1">
        <v>1314102</v>
      </c>
      <c r="C743" s="1">
        <v>3826</v>
      </c>
      <c r="D743" s="2">
        <v>42626</v>
      </c>
      <c r="E743" s="1" t="s">
        <v>18</v>
      </c>
      <c r="F743" t="str">
        <f>HYPERLINK("http://www.sec.gov/Archives/edgar/data/1314102/0001193125-16-708358-index.html")</f>
        <v>http://www.sec.gov/Archives/edgar/data/1314102/0001193125-16-708358-index.html</v>
      </c>
    </row>
    <row r="744" spans="1:6" x14ac:dyDescent="0.2">
      <c r="A744" t="s">
        <v>719</v>
      </c>
      <c r="B744" s="1">
        <v>1350421</v>
      </c>
      <c r="C744" s="1">
        <v>1381</v>
      </c>
      <c r="D744" s="2">
        <v>42626</v>
      </c>
      <c r="E744" s="1" t="s">
        <v>18</v>
      </c>
      <c r="F744" t="str">
        <f>HYPERLINK("http://www.sec.gov/Archives/edgar/data/1350421/0001078782-16-003465-index.html")</f>
        <v>http://www.sec.gov/Archives/edgar/data/1350421/0001078782-16-003465-index.html</v>
      </c>
    </row>
    <row r="745" spans="1:6" x14ac:dyDescent="0.2">
      <c r="A745" t="s">
        <v>720</v>
      </c>
      <c r="B745" s="1">
        <v>1355250</v>
      </c>
      <c r="C745" s="1">
        <v>2834</v>
      </c>
      <c r="D745" s="2">
        <v>42626</v>
      </c>
      <c r="E745" s="1" t="s">
        <v>18</v>
      </c>
      <c r="F745" t="str">
        <f>HYPERLINK("http://www.sec.gov/Archives/edgar/data/1355250/0001477932-16-012448-index.html")</f>
        <v>http://www.sec.gov/Archives/edgar/data/1355250/0001477932-16-012448-index.html</v>
      </c>
    </row>
    <row r="746" spans="1:6" x14ac:dyDescent="0.2">
      <c r="A746" t="s">
        <v>71</v>
      </c>
      <c r="B746" s="1">
        <v>1394638</v>
      </c>
      <c r="C746" s="1">
        <v>8200</v>
      </c>
      <c r="D746" s="2">
        <v>42626</v>
      </c>
      <c r="E746" s="1" t="s">
        <v>18</v>
      </c>
      <c r="F746" t="str">
        <f>HYPERLINK("http://www.sec.gov/Archives/edgar/data/1394638/0001553350-16-002465-index.html")</f>
        <v>http://www.sec.gov/Archives/edgar/data/1394638/0001553350-16-002465-index.html</v>
      </c>
    </row>
    <row r="747" spans="1:6" x14ac:dyDescent="0.2">
      <c r="A747" t="s">
        <v>721</v>
      </c>
      <c r="B747" s="1">
        <v>1434601</v>
      </c>
      <c r="C747" s="1">
        <v>4832</v>
      </c>
      <c r="D747" s="2">
        <v>42626</v>
      </c>
      <c r="E747" s="1" t="s">
        <v>18</v>
      </c>
      <c r="F747" t="str">
        <f>HYPERLINK("http://www.sec.gov/Archives/edgar/data/1434601/0001391609-16-000559-index.html")</f>
        <v>http://www.sec.gov/Archives/edgar/data/1434601/0001391609-16-000559-index.html</v>
      </c>
    </row>
    <row r="748" spans="1:6" x14ac:dyDescent="0.2">
      <c r="A748" t="s">
        <v>632</v>
      </c>
      <c r="B748" s="1">
        <v>1448558</v>
      </c>
      <c r="C748" s="1">
        <v>3669</v>
      </c>
      <c r="D748" s="2">
        <v>42626</v>
      </c>
      <c r="E748" s="1" t="s">
        <v>18</v>
      </c>
      <c r="F748" t="str">
        <f>HYPERLINK("http://www.sec.gov/Archives/edgar/data/1448558/0001445866-16-002618-index.html")</f>
        <v>http://www.sec.gov/Archives/edgar/data/1448558/0001445866-16-002618-index.html</v>
      </c>
    </row>
    <row r="749" spans="1:6" x14ac:dyDescent="0.2">
      <c r="A749" t="s">
        <v>722</v>
      </c>
      <c r="B749" s="1">
        <v>1459482</v>
      </c>
      <c r="C749" s="1">
        <v>8200</v>
      </c>
      <c r="D749" s="2">
        <v>42626</v>
      </c>
      <c r="E749" s="1" t="s">
        <v>18</v>
      </c>
      <c r="F749" t="str">
        <f>HYPERLINK("http://www.sec.gov/Archives/edgar/data/1459482/0001683168-16-000086-index.html")</f>
        <v>http://www.sec.gov/Archives/edgar/data/1459482/0001683168-16-000086-index.html</v>
      </c>
    </row>
    <row r="750" spans="1:6" x14ac:dyDescent="0.2">
      <c r="A750" t="s">
        <v>723</v>
      </c>
      <c r="B750" s="1">
        <v>1483195</v>
      </c>
      <c r="C750" s="1">
        <v>6022</v>
      </c>
      <c r="D750" s="2">
        <v>42626</v>
      </c>
      <c r="E750" s="1" t="s">
        <v>18</v>
      </c>
      <c r="F750" t="str">
        <f>HYPERLINK("http://www.sec.gov/Archives/edgar/data/1483195/0001483195-16-000041-index.html")</f>
        <v>http://www.sec.gov/Archives/edgar/data/1483195/0001483195-16-000041-index.html</v>
      </c>
    </row>
    <row r="751" spans="1:6" x14ac:dyDescent="0.2">
      <c r="A751" t="s">
        <v>724</v>
      </c>
      <c r="B751" s="1">
        <v>1493712</v>
      </c>
      <c r="C751" s="1">
        <v>5900</v>
      </c>
      <c r="D751" s="2">
        <v>42626</v>
      </c>
      <c r="E751" s="1" t="s">
        <v>18</v>
      </c>
      <c r="F751" t="str">
        <f>HYPERLINK("http://www.sec.gov/Archives/edgar/data/1493712/0001594062-16-000604-index.html")</f>
        <v>http://www.sec.gov/Archives/edgar/data/1493712/0001594062-16-000604-index.html</v>
      </c>
    </row>
    <row r="752" spans="1:6" x14ac:dyDescent="0.2">
      <c r="A752" t="s">
        <v>725</v>
      </c>
      <c r="B752" s="1">
        <v>1498382</v>
      </c>
      <c r="C752" s="1">
        <v>2834</v>
      </c>
      <c r="D752" s="2">
        <v>42626</v>
      </c>
      <c r="E752" s="1" t="s">
        <v>18</v>
      </c>
      <c r="F752" t="str">
        <f>HYPERLINK("http://www.sec.gov/Archives/edgar/data/1498382/0001213900-16-016715-index.html")</f>
        <v>http://www.sec.gov/Archives/edgar/data/1498382/0001213900-16-016715-index.html</v>
      </c>
    </row>
    <row r="753" spans="1:6" x14ac:dyDescent="0.2">
      <c r="A753" t="s">
        <v>726</v>
      </c>
      <c r="B753" s="1">
        <v>1530981</v>
      </c>
      <c r="C753" s="1">
        <v>8700</v>
      </c>
      <c r="D753" s="2">
        <v>42626</v>
      </c>
      <c r="E753" s="1" t="s">
        <v>18</v>
      </c>
      <c r="F753" t="str">
        <f>HYPERLINK("http://www.sec.gov/Archives/edgar/data/1530981/0001683168-16-000094-index.html")</f>
        <v>http://www.sec.gov/Archives/edgar/data/1530981/0001683168-16-000094-index.html</v>
      </c>
    </row>
    <row r="754" spans="1:6" x14ac:dyDescent="0.2">
      <c r="A754" t="s">
        <v>727</v>
      </c>
      <c r="B754" s="1">
        <v>1538263</v>
      </c>
      <c r="C754" s="1">
        <v>6035</v>
      </c>
      <c r="D754" s="2">
        <v>42626</v>
      </c>
      <c r="E754" s="1" t="s">
        <v>18</v>
      </c>
      <c r="F754" t="str">
        <f>HYPERLINK("http://www.sec.gov/Archives/edgar/data/1538263/0001538263-16-000128-index.html")</f>
        <v>http://www.sec.gov/Archives/edgar/data/1538263/0001538263-16-000128-index.html</v>
      </c>
    </row>
    <row r="755" spans="1:6" x14ac:dyDescent="0.2">
      <c r="A755" t="s">
        <v>728</v>
      </c>
      <c r="B755" s="1">
        <v>1626078</v>
      </c>
      <c r="C755" s="1">
        <v>7372</v>
      </c>
      <c r="D755" s="2">
        <v>42626</v>
      </c>
      <c r="E755" s="1" t="s">
        <v>18</v>
      </c>
      <c r="F755" t="str">
        <f>HYPERLINK("http://www.sec.gov/Archives/edgar/data/1626078/0001213900-16-016737-index.html")</f>
        <v>http://www.sec.gov/Archives/edgar/data/1626078/0001213900-16-016737-index.html</v>
      </c>
    </row>
    <row r="756" spans="1:6" x14ac:dyDescent="0.2">
      <c r="A756" t="s">
        <v>729</v>
      </c>
      <c r="B756" s="1">
        <v>72444</v>
      </c>
      <c r="C756" s="1">
        <v>2836</v>
      </c>
      <c r="D756" s="2">
        <v>42626</v>
      </c>
      <c r="E756" s="1" t="s">
        <v>18</v>
      </c>
      <c r="F756" t="str">
        <f>HYPERLINK("http://www.sec.gov/Archives/edgar/data/72444/0001437749-16-038645-index.html")</f>
        <v>http://www.sec.gov/Archives/edgar/data/72444/0001437749-16-038645-index.html</v>
      </c>
    </row>
    <row r="757" spans="1:6" x14ac:dyDescent="0.2">
      <c r="A757" t="s">
        <v>730</v>
      </c>
      <c r="B757" s="1">
        <v>811831</v>
      </c>
      <c r="C757" s="1">
        <v>6022</v>
      </c>
      <c r="D757" s="2">
        <v>42626</v>
      </c>
      <c r="E757" s="1" t="s">
        <v>18</v>
      </c>
      <c r="F757" t="str">
        <f>HYPERLINK("http://www.sec.gov/Archives/edgar/data/811831/0001437749-16-038610-index.html")</f>
        <v>http://www.sec.gov/Archives/edgar/data/811831/0001437749-16-038610-index.html</v>
      </c>
    </row>
    <row r="758" spans="1:6" x14ac:dyDescent="0.2">
      <c r="A758" t="s">
        <v>731</v>
      </c>
      <c r="B758" s="1">
        <v>865941</v>
      </c>
      <c r="C758" s="1">
        <v>4213</v>
      </c>
      <c r="D758" s="2">
        <v>42626</v>
      </c>
      <c r="E758" s="1" t="s">
        <v>18</v>
      </c>
      <c r="F758" t="str">
        <f>HYPERLINK("http://www.sec.gov/Archives/edgar/data/865941/0001008886-16-000363-index.html")</f>
        <v>http://www.sec.gov/Archives/edgar/data/865941/0001008886-16-000363-index.html</v>
      </c>
    </row>
    <row r="759" spans="1:6" x14ac:dyDescent="0.2">
      <c r="A759" t="s">
        <v>732</v>
      </c>
      <c r="B759" s="1">
        <v>896429</v>
      </c>
      <c r="C759" s="1">
        <v>3578</v>
      </c>
      <c r="D759" s="2">
        <v>42626</v>
      </c>
      <c r="E759" s="1" t="s">
        <v>18</v>
      </c>
      <c r="F759" t="str">
        <f>HYPERLINK("http://www.sec.gov/Archives/edgar/data/896429/0001571049-16-018243-index.html")</f>
        <v>http://www.sec.gov/Archives/edgar/data/896429/0001571049-16-018243-index.html</v>
      </c>
    </row>
    <row r="760" spans="1:6" x14ac:dyDescent="0.2">
      <c r="A760" t="s">
        <v>733</v>
      </c>
      <c r="B760" s="1">
        <v>916907</v>
      </c>
      <c r="C760" s="1">
        <v>6036</v>
      </c>
      <c r="D760" s="2">
        <v>42626</v>
      </c>
      <c r="E760" s="1" t="s">
        <v>18</v>
      </c>
      <c r="F760" t="str">
        <f>HYPERLINK("http://www.sec.gov/Archives/edgar/data/916907/0000927089-16-000936-index.html")</f>
        <v>http://www.sec.gov/Archives/edgar/data/916907/0000927089-16-000936-index.html</v>
      </c>
    </row>
    <row r="761" spans="1:6" x14ac:dyDescent="0.2">
      <c r="A761" t="s">
        <v>734</v>
      </c>
      <c r="B761" s="1">
        <v>1010470</v>
      </c>
      <c r="C761" s="1">
        <v>6035</v>
      </c>
      <c r="D761" s="2">
        <v>42625</v>
      </c>
      <c r="E761" s="1" t="s">
        <v>18</v>
      </c>
      <c r="F761" t="str">
        <f>HYPERLINK("http://www.sec.gov/Archives/edgar/data/1010470/0000939057-16-000998-index.html")</f>
        <v>http://www.sec.gov/Archives/edgar/data/1010470/0000939057-16-000998-index.html</v>
      </c>
    </row>
    <row r="762" spans="1:6" x14ac:dyDescent="0.2">
      <c r="A762" t="s">
        <v>735</v>
      </c>
      <c r="B762" s="1">
        <v>1273636</v>
      </c>
      <c r="C762" s="1">
        <v>2836</v>
      </c>
      <c r="D762" s="2">
        <v>42625</v>
      </c>
      <c r="E762" s="1" t="s">
        <v>18</v>
      </c>
      <c r="F762" t="str">
        <f>HYPERLINK("http://www.sec.gov/Archives/edgar/data/1273636/0001564590-16-025119-index.html")</f>
        <v>http://www.sec.gov/Archives/edgar/data/1273636/0001564590-16-025119-index.html</v>
      </c>
    </row>
    <row r="763" spans="1:6" x14ac:dyDescent="0.2">
      <c r="A763" t="s">
        <v>736</v>
      </c>
      <c r="B763" s="1">
        <v>1388133</v>
      </c>
      <c r="C763" s="1">
        <v>3661</v>
      </c>
      <c r="D763" s="2">
        <v>42625</v>
      </c>
      <c r="E763" s="1" t="s">
        <v>18</v>
      </c>
      <c r="F763" t="str">
        <f>HYPERLINK("http://www.sec.gov/Archives/edgar/data/1388133/0001567619-16-002926-index.html")</f>
        <v>http://www.sec.gov/Archives/edgar/data/1388133/0001567619-16-002926-index.html</v>
      </c>
    </row>
    <row r="764" spans="1:6" x14ac:dyDescent="0.2">
      <c r="A764" t="s">
        <v>737</v>
      </c>
      <c r="B764" s="1">
        <v>1494809</v>
      </c>
      <c r="C764" s="1">
        <v>1382</v>
      </c>
      <c r="D764" s="2">
        <v>42625</v>
      </c>
      <c r="E764" s="1" t="s">
        <v>18</v>
      </c>
      <c r="F764" t="str">
        <f>HYPERLINK("http://www.sec.gov/Archives/edgar/data/1494809/0001213900-16-016698-index.html")</f>
        <v>http://www.sec.gov/Archives/edgar/data/1494809/0001213900-16-016698-index.html</v>
      </c>
    </row>
    <row r="765" spans="1:6" x14ac:dyDescent="0.2">
      <c r="A765" t="s">
        <v>738</v>
      </c>
      <c r="B765" s="1">
        <v>33533</v>
      </c>
      <c r="C765" s="1">
        <v>3679</v>
      </c>
      <c r="D765" s="2">
        <v>42625</v>
      </c>
      <c r="E765" s="1" t="s">
        <v>18</v>
      </c>
      <c r="F765" t="str">
        <f>HYPERLINK("http://www.sec.gov/Archives/edgar/data/33533/0001174947-16-003138-index.html")</f>
        <v>http://www.sec.gov/Archives/edgar/data/33533/0001174947-16-003138-index.html</v>
      </c>
    </row>
    <row r="766" spans="1:6" x14ac:dyDescent="0.2">
      <c r="A766" t="s">
        <v>739</v>
      </c>
      <c r="B766" s="1">
        <v>934445</v>
      </c>
      <c r="C766" s="1">
        <v>5065</v>
      </c>
      <c r="D766" s="2">
        <v>42625</v>
      </c>
      <c r="E766" s="1" t="s">
        <v>18</v>
      </c>
      <c r="F766" t="str">
        <f>HYPERLINK("http://www.sec.gov/Archives/edgar/data/934445/0001594062-16-000602-index.html")</f>
        <v>http://www.sec.gov/Archives/edgar/data/934445/0001594062-16-000602-index.html</v>
      </c>
    </row>
    <row r="767" spans="1:6" x14ac:dyDescent="0.2">
      <c r="A767" t="s">
        <v>740</v>
      </c>
      <c r="B767" s="1">
        <v>1006655</v>
      </c>
      <c r="C767" s="1">
        <v>1311</v>
      </c>
      <c r="D767" s="2">
        <v>42622</v>
      </c>
      <c r="E767" s="1" t="s">
        <v>18</v>
      </c>
      <c r="F767" t="str">
        <f>HYPERLINK("http://www.sec.gov/Archives/edgar/data/1006655/0001006655-16-000132-index.html")</f>
        <v>http://www.sec.gov/Archives/edgar/data/1006655/0001006655-16-000132-index.html</v>
      </c>
    </row>
    <row r="768" spans="1:6" x14ac:dyDescent="0.2">
      <c r="A768" t="s">
        <v>741</v>
      </c>
      <c r="B768" s="1">
        <v>1096132</v>
      </c>
      <c r="C768" s="1">
        <v>8742</v>
      </c>
      <c r="D768" s="2">
        <v>42622</v>
      </c>
      <c r="E768" s="1" t="s">
        <v>18</v>
      </c>
      <c r="F768" t="str">
        <f>HYPERLINK("http://www.sec.gov/Archives/edgar/data/1096132/0001262463-16-001035-index.html")</f>
        <v>http://www.sec.gov/Archives/edgar/data/1096132/0001262463-16-001035-index.html</v>
      </c>
    </row>
    <row r="769" spans="1:6" x14ac:dyDescent="0.2">
      <c r="A769" t="s">
        <v>742</v>
      </c>
      <c r="B769" s="1">
        <v>1342287</v>
      </c>
      <c r="C769" s="1">
        <v>7359</v>
      </c>
      <c r="D769" s="2">
        <v>42622</v>
      </c>
      <c r="E769" s="1" t="s">
        <v>18</v>
      </c>
      <c r="F769" t="str">
        <f>HYPERLINK("http://www.sec.gov/Archives/edgar/data/1342287/0001193125-16-706155-index.html")</f>
        <v>http://www.sec.gov/Archives/edgar/data/1342287/0001193125-16-706155-index.html</v>
      </c>
    </row>
    <row r="770" spans="1:6" x14ac:dyDescent="0.2">
      <c r="A770" t="s">
        <v>743</v>
      </c>
      <c r="B770" s="1">
        <v>1377789</v>
      </c>
      <c r="C770" s="1">
        <v>3663</v>
      </c>
      <c r="D770" s="2">
        <v>42622</v>
      </c>
      <c r="E770" s="1" t="s">
        <v>18</v>
      </c>
      <c r="F770" t="str">
        <f>HYPERLINK("http://www.sec.gov/Archives/edgar/data/1377789/0001377789-16-000172-index.html")</f>
        <v>http://www.sec.gov/Archives/edgar/data/1377789/0001377789-16-000172-index.html</v>
      </c>
    </row>
    <row r="771" spans="1:6" x14ac:dyDescent="0.2">
      <c r="A771" t="s">
        <v>744</v>
      </c>
      <c r="B771" s="1">
        <v>1448301</v>
      </c>
      <c r="C771" s="1">
        <v>6036</v>
      </c>
      <c r="D771" s="2">
        <v>42622</v>
      </c>
      <c r="E771" s="1" t="s">
        <v>18</v>
      </c>
      <c r="F771" t="str">
        <f>HYPERLINK("http://www.sec.gov/Archives/edgar/data/1448301/0000939057-16-000989-index.html")</f>
        <v>http://www.sec.gov/Archives/edgar/data/1448301/0000939057-16-000989-index.html</v>
      </c>
    </row>
    <row r="772" spans="1:6" x14ac:dyDescent="0.2">
      <c r="A772" t="s">
        <v>745</v>
      </c>
      <c r="B772" s="1">
        <v>1487843</v>
      </c>
      <c r="C772" s="1">
        <v>6500</v>
      </c>
      <c r="D772" s="2">
        <v>42622</v>
      </c>
      <c r="E772" s="1" t="s">
        <v>42</v>
      </c>
      <c r="F772" t="str">
        <f>HYPERLINK("http://www.sec.gov/Archives/edgar/data/1487843/0001213900-16-016651-index.html")</f>
        <v>http://www.sec.gov/Archives/edgar/data/1487843/0001213900-16-016651-index.html</v>
      </c>
    </row>
    <row r="773" spans="1:6" x14ac:dyDescent="0.2">
      <c r="A773" t="s">
        <v>746</v>
      </c>
      <c r="B773" s="1">
        <v>1553643</v>
      </c>
      <c r="C773" s="1">
        <v>2834</v>
      </c>
      <c r="D773" s="2">
        <v>42622</v>
      </c>
      <c r="E773" s="1" t="s">
        <v>18</v>
      </c>
      <c r="F773" t="str">
        <f>HYPERLINK("http://www.sec.gov/Archives/edgar/data/1553643/0001213900-16-016664-index.html")</f>
        <v>http://www.sec.gov/Archives/edgar/data/1553643/0001213900-16-016664-index.html</v>
      </c>
    </row>
    <row r="774" spans="1:6" x14ac:dyDescent="0.2">
      <c r="A774" t="s">
        <v>747</v>
      </c>
      <c r="B774" s="1">
        <v>1556727</v>
      </c>
      <c r="C774" s="1">
        <v>6036</v>
      </c>
      <c r="D774" s="2">
        <v>42622</v>
      </c>
      <c r="E774" s="1" t="s">
        <v>18</v>
      </c>
      <c r="F774" t="str">
        <f>HYPERLINK("http://www.sec.gov/Archives/edgar/data/1556727/0000939057-16-000993-index.html")</f>
        <v>http://www.sec.gov/Archives/edgar/data/1556727/0000939057-16-000993-index.html</v>
      </c>
    </row>
    <row r="775" spans="1:6" x14ac:dyDescent="0.2">
      <c r="A775" t="s">
        <v>748</v>
      </c>
      <c r="B775" s="1">
        <v>1590976</v>
      </c>
      <c r="C775" s="1">
        <v>3730</v>
      </c>
      <c r="D775" s="2">
        <v>42622</v>
      </c>
      <c r="E775" s="1" t="s">
        <v>18</v>
      </c>
      <c r="F775" t="str">
        <f>HYPERLINK("http://www.sec.gov/Archives/edgar/data/1590976/0001590976-16-000247-index.html")</f>
        <v>http://www.sec.gov/Archives/edgar/data/1590976/0001590976-16-000247-index.html</v>
      </c>
    </row>
    <row r="776" spans="1:6" x14ac:dyDescent="0.2">
      <c r="A776" t="s">
        <v>749</v>
      </c>
      <c r="B776" s="1">
        <v>1617898</v>
      </c>
      <c r="C776" s="1">
        <v>3720</v>
      </c>
      <c r="D776" s="2">
        <v>42622</v>
      </c>
      <c r="E776" s="1" t="s">
        <v>42</v>
      </c>
      <c r="F776" t="str">
        <f>HYPERLINK("http://www.sec.gov/Archives/edgar/data/1617898/0001558370-16-008270-index.html")</f>
        <v>http://www.sec.gov/Archives/edgar/data/1617898/0001558370-16-008270-index.html</v>
      </c>
    </row>
    <row r="777" spans="1:6" x14ac:dyDescent="0.2">
      <c r="A777" t="s">
        <v>750</v>
      </c>
      <c r="B777" s="1">
        <v>1638290</v>
      </c>
      <c r="C777" s="1">
        <v>3730</v>
      </c>
      <c r="D777" s="2">
        <v>42622</v>
      </c>
      <c r="E777" s="1" t="s">
        <v>18</v>
      </c>
      <c r="F777" t="str">
        <f>HYPERLINK("http://www.sec.gov/Archives/edgar/data/1638290/0001558370-16-008267-index.html")</f>
        <v>http://www.sec.gov/Archives/edgar/data/1638290/0001558370-16-008267-index.html</v>
      </c>
    </row>
    <row r="778" spans="1:6" x14ac:dyDescent="0.2">
      <c r="A778" t="s">
        <v>751</v>
      </c>
      <c r="B778" s="1">
        <v>1651577</v>
      </c>
      <c r="C778" s="1">
        <v>2430</v>
      </c>
      <c r="D778" s="2">
        <v>42622</v>
      </c>
      <c r="E778" s="1" t="s">
        <v>18</v>
      </c>
      <c r="F778" t="str">
        <f>HYPERLINK("http://www.sec.gov/Archives/edgar/data/1651577/0001477932-16-012416-index.html")</f>
        <v>http://www.sec.gov/Archives/edgar/data/1651577/0001477932-16-012416-index.html</v>
      </c>
    </row>
    <row r="779" spans="1:6" x14ac:dyDescent="0.2">
      <c r="A779" t="s">
        <v>752</v>
      </c>
      <c r="B779" s="1">
        <v>719733</v>
      </c>
      <c r="C779" s="1">
        <v>3577</v>
      </c>
      <c r="D779" s="2">
        <v>42622</v>
      </c>
      <c r="E779" s="1" t="s">
        <v>18</v>
      </c>
      <c r="F779" t="str">
        <f>HYPERLINK("http://www.sec.gov/Archives/edgar/data/719733/0000719733-16-000164-index.html")</f>
        <v>http://www.sec.gov/Archives/edgar/data/719733/0000719733-16-000164-index.html</v>
      </c>
    </row>
    <row r="780" spans="1:6" x14ac:dyDescent="0.2">
      <c r="A780" t="s">
        <v>753</v>
      </c>
      <c r="B780" s="1">
        <v>728387</v>
      </c>
      <c r="C780" s="1">
        <v>3841</v>
      </c>
      <c r="D780" s="2">
        <v>42622</v>
      </c>
      <c r="E780" s="1" t="s">
        <v>18</v>
      </c>
      <c r="F780" t="str">
        <f>HYPERLINK("http://www.sec.gov/Archives/edgar/data/728387/0001144204-16-123313-index.html")</f>
        <v>http://www.sec.gov/Archives/edgar/data/728387/0001144204-16-123313-index.html</v>
      </c>
    </row>
    <row r="781" spans="1:6" x14ac:dyDescent="0.2">
      <c r="A781" t="s">
        <v>754</v>
      </c>
      <c r="B781" s="1">
        <v>799729</v>
      </c>
      <c r="C781" s="1">
        <v>8731</v>
      </c>
      <c r="D781" s="2">
        <v>42622</v>
      </c>
      <c r="E781" s="1" t="s">
        <v>18</v>
      </c>
      <c r="F781" t="str">
        <f>HYPERLINK("http://www.sec.gov/Archives/edgar/data/799729/0000799729-16-000065-index.html")</f>
        <v>http://www.sec.gov/Archives/edgar/data/799729/0000799729-16-000065-index.html</v>
      </c>
    </row>
    <row r="782" spans="1:6" x14ac:dyDescent="0.2">
      <c r="A782" t="s">
        <v>755</v>
      </c>
      <c r="B782" s="1">
        <v>826326</v>
      </c>
      <c r="C782" s="1">
        <v>3490</v>
      </c>
      <c r="D782" s="2">
        <v>42622</v>
      </c>
      <c r="E782" s="1" t="s">
        <v>18</v>
      </c>
      <c r="F782" t="str">
        <f>HYPERLINK("http://www.sec.gov/Archives/edgar/data/826326/0001558370-16-008278-index.html")</f>
        <v>http://www.sec.gov/Archives/edgar/data/826326/0001558370-16-008278-index.html</v>
      </c>
    </row>
    <row r="783" spans="1:6" x14ac:dyDescent="0.2">
      <c r="A783" t="s">
        <v>756</v>
      </c>
      <c r="B783" s="1">
        <v>887226</v>
      </c>
      <c r="C783" s="1">
        <v>3827</v>
      </c>
      <c r="D783" s="2">
        <v>42622</v>
      </c>
      <c r="E783" s="1" t="s">
        <v>18</v>
      </c>
      <c r="F783" t="str">
        <f>HYPERLINK("http://www.sec.gov/Archives/edgar/data/887226/0000887226-16-000043-index.html")</f>
        <v>http://www.sec.gov/Archives/edgar/data/887226/0000887226-16-000043-index.html</v>
      </c>
    </row>
    <row r="784" spans="1:6" x14ac:dyDescent="0.2">
      <c r="A784" t="s">
        <v>757</v>
      </c>
      <c r="B784" s="1">
        <v>1140310</v>
      </c>
      <c r="C784" s="1">
        <v>4911</v>
      </c>
      <c r="D784" s="2">
        <v>42621</v>
      </c>
      <c r="E784" s="1" t="s">
        <v>18</v>
      </c>
      <c r="F784" t="str">
        <f>HYPERLINK("http://www.sec.gov/Archives/edgar/data/1140310/0001102624-16-003355-index.html")</f>
        <v>http://www.sec.gov/Archives/edgar/data/1140310/0001102624-16-003355-index.html</v>
      </c>
    </row>
    <row r="785" spans="1:6" x14ac:dyDescent="0.2">
      <c r="A785" t="s">
        <v>758</v>
      </c>
      <c r="B785" s="1">
        <v>1327567</v>
      </c>
      <c r="C785" s="1">
        <v>3577</v>
      </c>
      <c r="D785" s="2">
        <v>42621</v>
      </c>
      <c r="E785" s="1" t="s">
        <v>18</v>
      </c>
      <c r="F785" t="str">
        <f>HYPERLINK("http://www.sec.gov/Archives/edgar/data/1327567/0001327567-16-000064-index.html")</f>
        <v>http://www.sec.gov/Archives/edgar/data/1327567/0001327567-16-000064-index.html</v>
      </c>
    </row>
    <row r="786" spans="1:6" x14ac:dyDescent="0.2">
      <c r="A786" t="s">
        <v>759</v>
      </c>
      <c r="B786" s="1">
        <v>1553404</v>
      </c>
      <c r="C786" s="1">
        <v>4955</v>
      </c>
      <c r="D786" s="2">
        <v>42621</v>
      </c>
      <c r="E786" s="1" t="s">
        <v>18</v>
      </c>
      <c r="F786" t="str">
        <f>HYPERLINK("http://www.sec.gov/Archives/edgar/data/1553404/0001213900-16-016623-index.html")</f>
        <v>http://www.sec.gov/Archives/edgar/data/1553404/0001213900-16-016623-index.html</v>
      </c>
    </row>
    <row r="787" spans="1:6" x14ac:dyDescent="0.2">
      <c r="A787" t="s">
        <v>424</v>
      </c>
      <c r="B787" s="1">
        <v>1587755</v>
      </c>
      <c r="C787" s="1">
        <v>7990</v>
      </c>
      <c r="D787" s="2">
        <v>42621</v>
      </c>
      <c r="E787" s="1" t="s">
        <v>18</v>
      </c>
      <c r="F787" t="str">
        <f>HYPERLINK("http://www.sec.gov/Archives/edgar/data/1587755/0001140361-16-079143-index.html")</f>
        <v>http://www.sec.gov/Archives/edgar/data/1587755/0001140361-16-079143-index.html</v>
      </c>
    </row>
    <row r="788" spans="1:6" x14ac:dyDescent="0.2">
      <c r="A788" t="s">
        <v>760</v>
      </c>
      <c r="B788" s="1">
        <v>1653629</v>
      </c>
      <c r="C788" s="1">
        <v>2520</v>
      </c>
      <c r="D788" s="2">
        <v>42621</v>
      </c>
      <c r="E788" s="1" t="s">
        <v>18</v>
      </c>
      <c r="F788" t="str">
        <f>HYPERLINK("http://www.sec.gov/Archives/edgar/data/1653629/0001477932-16-012409-index.html")</f>
        <v>http://www.sec.gov/Archives/edgar/data/1653629/0001477932-16-012409-index.html</v>
      </c>
    </row>
    <row r="789" spans="1:6" x14ac:dyDescent="0.2">
      <c r="A789" t="s">
        <v>761</v>
      </c>
      <c r="B789" s="1">
        <v>69633</v>
      </c>
      <c r="C789" s="1">
        <v>3669</v>
      </c>
      <c r="D789" s="2">
        <v>42621</v>
      </c>
      <c r="E789" s="1" t="s">
        <v>18</v>
      </c>
      <c r="F789" t="str">
        <f>HYPERLINK("http://www.sec.gov/Archives/edgar/data/69633/0001144204-16-123247-index.html")</f>
        <v>http://www.sec.gov/Archives/edgar/data/69633/0001144204-16-123247-index.html</v>
      </c>
    </row>
    <row r="790" spans="1:6" x14ac:dyDescent="0.2">
      <c r="A790" t="s">
        <v>762</v>
      </c>
      <c r="B790" s="1">
        <v>858877</v>
      </c>
      <c r="C790" s="1">
        <v>3576</v>
      </c>
      <c r="D790" s="2">
        <v>42621</v>
      </c>
      <c r="E790" s="1" t="s">
        <v>18</v>
      </c>
      <c r="F790" t="str">
        <f>HYPERLINK("http://www.sec.gov/Archives/edgar/data/858877/0000858877-16-000117-index.html")</f>
        <v>http://www.sec.gov/Archives/edgar/data/858877/0000858877-16-000117-index.html</v>
      </c>
    </row>
    <row r="791" spans="1:6" x14ac:dyDescent="0.2">
      <c r="A791" t="s">
        <v>763</v>
      </c>
      <c r="B791" s="1">
        <v>933034</v>
      </c>
      <c r="C791" s="1">
        <v>3714</v>
      </c>
      <c r="D791" s="2">
        <v>42621</v>
      </c>
      <c r="E791" s="1" t="s">
        <v>18</v>
      </c>
      <c r="F791" t="str">
        <f>HYPERLINK("http://www.sec.gov/Archives/edgar/data/933034/0000950123-16-020394-index.html")</f>
        <v>http://www.sec.gov/Archives/edgar/data/933034/0000950123-16-020394-index.html</v>
      </c>
    </row>
    <row r="792" spans="1:6" x14ac:dyDescent="0.2">
      <c r="A792" t="s">
        <v>763</v>
      </c>
      <c r="B792" s="1">
        <v>933034</v>
      </c>
      <c r="C792" s="1">
        <v>3714</v>
      </c>
      <c r="D792" s="2">
        <v>42621</v>
      </c>
      <c r="E792" s="1" t="s">
        <v>18</v>
      </c>
      <c r="F792" t="str">
        <f>HYPERLINK("http://www.sec.gov/Archives/edgar/data/933034/0000950123-16-020394-index.html")</f>
        <v>http://www.sec.gov/Archives/edgar/data/933034/0000950123-16-020394-index.html</v>
      </c>
    </row>
    <row r="793" spans="1:6" x14ac:dyDescent="0.2">
      <c r="A793" t="s">
        <v>764</v>
      </c>
      <c r="B793" s="1">
        <v>1158780</v>
      </c>
      <c r="C793" s="1">
        <v>2836</v>
      </c>
      <c r="D793" s="2">
        <v>42620</v>
      </c>
      <c r="E793" s="1" t="s">
        <v>18</v>
      </c>
      <c r="F793" t="str">
        <f>HYPERLINK("http://www.sec.gov/Archives/edgar/data/1158780/0001178913-16-006442-index.html")</f>
        <v>http://www.sec.gov/Archives/edgar/data/1158780/0001178913-16-006442-index.html</v>
      </c>
    </row>
    <row r="794" spans="1:6" x14ac:dyDescent="0.2">
      <c r="A794" t="s">
        <v>765</v>
      </c>
      <c r="B794" s="1">
        <v>1350156</v>
      </c>
      <c r="C794" s="1">
        <v>5700</v>
      </c>
      <c r="D794" s="2">
        <v>42620</v>
      </c>
      <c r="E794" s="1" t="s">
        <v>18</v>
      </c>
      <c r="F794" t="str">
        <f>HYPERLINK("http://www.sec.gov/Archives/edgar/data/1350156/0001262463-16-001030-index.html")</f>
        <v>http://www.sec.gov/Archives/edgar/data/1350156/0001262463-16-001030-index.html</v>
      </c>
    </row>
    <row r="795" spans="1:6" x14ac:dyDescent="0.2">
      <c r="A795" t="s">
        <v>766</v>
      </c>
      <c r="B795" s="1">
        <v>1522787</v>
      </c>
      <c r="C795" s="1">
        <v>5990</v>
      </c>
      <c r="D795" s="2">
        <v>42620</v>
      </c>
      <c r="E795" s="1" t="s">
        <v>18</v>
      </c>
      <c r="F795" t="str">
        <f>HYPERLINK("http://www.sec.gov/Archives/edgar/data/1522787/0001477932-16-012386-index.html")</f>
        <v>http://www.sec.gov/Archives/edgar/data/1522787/0001477932-16-012386-index.html</v>
      </c>
    </row>
    <row r="796" spans="1:6" x14ac:dyDescent="0.2">
      <c r="A796" t="s">
        <v>767</v>
      </c>
      <c r="B796" s="1">
        <v>50471</v>
      </c>
      <c r="C796" s="1">
        <v>7374</v>
      </c>
      <c r="D796" s="2">
        <v>42620</v>
      </c>
      <c r="E796" s="1" t="s">
        <v>18</v>
      </c>
      <c r="F796" t="str">
        <f>HYPERLINK("http://www.sec.gov/Archives/edgar/data/50471/0001415889-16-007070-index.html")</f>
        <v>http://www.sec.gov/Archives/edgar/data/50471/0001415889-16-007070-index.html</v>
      </c>
    </row>
    <row r="797" spans="1:6" x14ac:dyDescent="0.2">
      <c r="A797" t="s">
        <v>768</v>
      </c>
      <c r="B797" s="1">
        <v>75439</v>
      </c>
      <c r="C797" s="1">
        <v>3841</v>
      </c>
      <c r="D797" s="2">
        <v>42620</v>
      </c>
      <c r="E797" s="1" t="s">
        <v>42</v>
      </c>
      <c r="F797" t="str">
        <f>HYPERLINK("http://www.sec.gov/Archives/edgar/data/75439/0001415889-16-007060-index.html")</f>
        <v>http://www.sec.gov/Archives/edgar/data/75439/0001415889-16-007060-index.html</v>
      </c>
    </row>
    <row r="798" spans="1:6" x14ac:dyDescent="0.2">
      <c r="A798" t="s">
        <v>769</v>
      </c>
      <c r="B798" s="1">
        <v>763532</v>
      </c>
      <c r="C798" s="1">
        <v>3640</v>
      </c>
      <c r="D798" s="2">
        <v>42620</v>
      </c>
      <c r="E798" s="1" t="s">
        <v>18</v>
      </c>
      <c r="F798" t="str">
        <f>HYPERLINK("http://www.sec.gov/Archives/edgar/data/763532/0001437749-16-038404-index.html")</f>
        <v>http://www.sec.gov/Archives/edgar/data/763532/0001437749-16-038404-index.html</v>
      </c>
    </row>
    <row r="799" spans="1:6" x14ac:dyDescent="0.2">
      <c r="A799" t="s">
        <v>770</v>
      </c>
      <c r="B799" s="1">
        <v>1078271</v>
      </c>
      <c r="C799" s="1">
        <v>3576</v>
      </c>
      <c r="D799" s="2">
        <v>42619</v>
      </c>
      <c r="E799" s="1" t="s">
        <v>18</v>
      </c>
      <c r="F799" t="str">
        <f>HYPERLINK("http://www.sec.gov/Archives/edgar/data/1078271/0001564590-16-024924-index.html")</f>
        <v>http://www.sec.gov/Archives/edgar/data/1078271/0001564590-16-024924-index.html</v>
      </c>
    </row>
    <row r="800" spans="1:6" x14ac:dyDescent="0.2">
      <c r="A800" t="s">
        <v>771</v>
      </c>
      <c r="B800" s="1">
        <v>1262104</v>
      </c>
      <c r="C800" s="1">
        <v>2834</v>
      </c>
      <c r="D800" s="2">
        <v>42619</v>
      </c>
      <c r="E800" s="1" t="s">
        <v>18</v>
      </c>
      <c r="F800" t="str">
        <f>HYPERLINK("http://www.sec.gov/Archives/edgar/data/1262104/0001193125-16-701415-index.html")</f>
        <v>http://www.sec.gov/Archives/edgar/data/1262104/0001193125-16-701415-index.html</v>
      </c>
    </row>
    <row r="801" spans="1:6" x14ac:dyDescent="0.2">
      <c r="A801" t="s">
        <v>772</v>
      </c>
      <c r="B801" s="1">
        <v>1488917</v>
      </c>
      <c r="C801" s="1">
        <v>3845</v>
      </c>
      <c r="D801" s="2">
        <v>42619</v>
      </c>
      <c r="E801" s="1" t="s">
        <v>18</v>
      </c>
      <c r="F801" t="str">
        <f>HYPERLINK("http://www.sec.gov/Archives/edgar/data/1488917/0000897101-16-002894-index.html")</f>
        <v>http://www.sec.gov/Archives/edgar/data/1488917/0000897101-16-002894-index.html</v>
      </c>
    </row>
    <row r="802" spans="1:6" x14ac:dyDescent="0.2">
      <c r="A802" t="s">
        <v>773</v>
      </c>
      <c r="B802" s="1">
        <v>1500305</v>
      </c>
      <c r="C802" s="1">
        <v>2844</v>
      </c>
      <c r="D802" s="2">
        <v>42619</v>
      </c>
      <c r="E802" s="1" t="s">
        <v>18</v>
      </c>
      <c r="F802" t="str">
        <f>HYPERLINK("http://www.sec.gov/Archives/edgar/data/1500305/0001493152-16-013103-index.html")</f>
        <v>http://www.sec.gov/Archives/edgar/data/1500305/0001493152-16-013103-index.html</v>
      </c>
    </row>
    <row r="803" spans="1:6" x14ac:dyDescent="0.2">
      <c r="A803" t="s">
        <v>774</v>
      </c>
      <c r="B803" s="1">
        <v>92679</v>
      </c>
      <c r="C803" s="1">
        <v>3672</v>
      </c>
      <c r="D803" s="2">
        <v>42619</v>
      </c>
      <c r="E803" s="1" t="s">
        <v>18</v>
      </c>
      <c r="F803" t="str">
        <f>HYPERLINK("http://www.sec.gov/Archives/edgar/data/92679/0000092679-16-000056-index.html")</f>
        <v>http://www.sec.gov/Archives/edgar/data/92679/0000092679-16-000056-index.html</v>
      </c>
    </row>
    <row r="804" spans="1:6" x14ac:dyDescent="0.2">
      <c r="A804" t="s">
        <v>775</v>
      </c>
      <c r="B804" s="1">
        <v>1016504</v>
      </c>
      <c r="C804" s="1">
        <v>2834</v>
      </c>
      <c r="D804" s="2">
        <v>42615</v>
      </c>
      <c r="E804" s="1" t="s">
        <v>18</v>
      </c>
      <c r="F804" t="str">
        <f>HYPERLINK("http://www.sec.gov/Archives/edgar/data/1016504/0001437749-16-038298-index.html")</f>
        <v>http://www.sec.gov/Archives/edgar/data/1016504/0001437749-16-038298-index.html</v>
      </c>
    </row>
    <row r="805" spans="1:6" x14ac:dyDescent="0.2">
      <c r="A805" t="s">
        <v>776</v>
      </c>
      <c r="B805" s="1">
        <v>1080448</v>
      </c>
      <c r="C805" s="1">
        <v>1040</v>
      </c>
      <c r="D805" s="2">
        <v>42615</v>
      </c>
      <c r="E805" s="1" t="s">
        <v>18</v>
      </c>
      <c r="F805" t="str">
        <f>HYPERLINK("http://www.sec.gov/Archives/edgar/data/1080448/0001683168-16-000009-index.html")</f>
        <v>http://www.sec.gov/Archives/edgar/data/1080448/0001683168-16-000009-index.html</v>
      </c>
    </row>
    <row r="806" spans="1:6" x14ac:dyDescent="0.2">
      <c r="A806" t="s">
        <v>777</v>
      </c>
      <c r="B806" s="1">
        <v>1122991</v>
      </c>
      <c r="C806" s="1">
        <v>4899</v>
      </c>
      <c r="D806" s="2">
        <v>42615</v>
      </c>
      <c r="E806" s="1" t="s">
        <v>18</v>
      </c>
      <c r="F806" t="str">
        <f>HYPERLINK("http://www.sec.gov/Archives/edgar/data/1122991/0001165527-16-000878-index.html")</f>
        <v>http://www.sec.gov/Archives/edgar/data/1122991/0001165527-16-000878-index.html</v>
      </c>
    </row>
    <row r="807" spans="1:6" x14ac:dyDescent="0.2">
      <c r="A807" t="s">
        <v>778</v>
      </c>
      <c r="B807" s="1">
        <v>1316625</v>
      </c>
      <c r="C807" s="1">
        <v>3571</v>
      </c>
      <c r="D807" s="2">
        <v>42615</v>
      </c>
      <c r="E807" s="1" t="s">
        <v>18</v>
      </c>
      <c r="F807" t="str">
        <f>HYPERLINK("http://www.sec.gov/Archives/edgar/data/1316625/0001316625-16-000032-index.html")</f>
        <v>http://www.sec.gov/Archives/edgar/data/1316625/0001316625-16-000032-index.html</v>
      </c>
    </row>
    <row r="808" spans="1:6" x14ac:dyDescent="0.2">
      <c r="A808" t="s">
        <v>559</v>
      </c>
      <c r="B808" s="1">
        <v>1450390</v>
      </c>
      <c r="C808" s="1">
        <v>1311</v>
      </c>
      <c r="D808" s="2">
        <v>42615</v>
      </c>
      <c r="E808" s="1" t="s">
        <v>42</v>
      </c>
      <c r="F808" t="str">
        <f>HYPERLINK("http://www.sec.gov/Archives/edgar/data/1450390/0001206774-16-007165-index.html")</f>
        <v>http://www.sec.gov/Archives/edgar/data/1450390/0001206774-16-007165-index.html</v>
      </c>
    </row>
    <row r="809" spans="1:6" x14ac:dyDescent="0.2">
      <c r="A809" t="s">
        <v>559</v>
      </c>
      <c r="B809" s="1">
        <v>1450390</v>
      </c>
      <c r="C809" s="1">
        <v>1311</v>
      </c>
      <c r="D809" s="2">
        <v>42615</v>
      </c>
      <c r="E809" s="1" t="s">
        <v>42</v>
      </c>
      <c r="F809" t="str">
        <f>HYPERLINK("http://www.sec.gov/Archives/edgar/data/1450390/0001206774-16-007167-index.html")</f>
        <v>http://www.sec.gov/Archives/edgar/data/1450390/0001206774-16-007167-index.html</v>
      </c>
    </row>
    <row r="810" spans="1:6" x14ac:dyDescent="0.2">
      <c r="A810" t="s">
        <v>779</v>
      </c>
      <c r="B810" s="1">
        <v>1618561</v>
      </c>
      <c r="C810" s="1">
        <v>2834</v>
      </c>
      <c r="D810" s="2">
        <v>42615</v>
      </c>
      <c r="E810" s="1" t="s">
        <v>18</v>
      </c>
      <c r="F810" t="str">
        <f>HYPERLINK("http://www.sec.gov/Archives/edgar/data/1618561/0001564590-16-024880-index.html")</f>
        <v>http://www.sec.gov/Archives/edgar/data/1618561/0001564590-16-024880-index.html</v>
      </c>
    </row>
    <row r="811" spans="1:6" x14ac:dyDescent="0.2">
      <c r="A811" t="s">
        <v>780</v>
      </c>
      <c r="B811" s="1">
        <v>1633978</v>
      </c>
      <c r="C811" s="1">
        <v>3669</v>
      </c>
      <c r="D811" s="2">
        <v>42615</v>
      </c>
      <c r="E811" s="1" t="s">
        <v>18</v>
      </c>
      <c r="F811" t="str">
        <f>HYPERLINK("http://www.sec.gov/Archives/edgar/data/1633978/0001628280-16-019400-index.html")</f>
        <v>http://www.sec.gov/Archives/edgar/data/1633978/0001628280-16-019400-index.html</v>
      </c>
    </row>
    <row r="812" spans="1:6" x14ac:dyDescent="0.2">
      <c r="A812" t="s">
        <v>781</v>
      </c>
      <c r="B812" s="1">
        <v>1293310</v>
      </c>
      <c r="C812" s="1">
        <v>2834</v>
      </c>
      <c r="D812" s="2">
        <v>42614</v>
      </c>
      <c r="E812" s="1" t="s">
        <v>18</v>
      </c>
      <c r="F812" t="str">
        <f>HYPERLINK("http://www.sec.gov/Archives/edgar/data/1293310/0001214659-16-013550-index.html")</f>
        <v>http://www.sec.gov/Archives/edgar/data/1293310/0001214659-16-013550-index.html</v>
      </c>
    </row>
    <row r="813" spans="1:6" x14ac:dyDescent="0.2">
      <c r="A813" t="s">
        <v>782</v>
      </c>
      <c r="B813" s="1">
        <v>1385818</v>
      </c>
      <c r="C813" s="1">
        <v>2834</v>
      </c>
      <c r="D813" s="2">
        <v>42614</v>
      </c>
      <c r="E813" s="1" t="s">
        <v>18</v>
      </c>
      <c r="F813" t="str">
        <f>HYPERLINK("http://www.sec.gov/Archives/edgar/data/1385818/0001144204-16-122393-index.html")</f>
        <v>http://www.sec.gov/Archives/edgar/data/1385818/0001144204-16-122393-index.html</v>
      </c>
    </row>
    <row r="814" spans="1:6" x14ac:dyDescent="0.2">
      <c r="A814" t="s">
        <v>783</v>
      </c>
      <c r="B814" s="1">
        <v>1432967</v>
      </c>
      <c r="C814" s="1">
        <v>5900</v>
      </c>
      <c r="D814" s="2">
        <v>42614</v>
      </c>
      <c r="E814" s="1" t="s">
        <v>21</v>
      </c>
      <c r="F814" t="str">
        <f>HYPERLINK("http://www.sec.gov/Archives/edgar/data/1432967/0001683168-16-000003-index.html")</f>
        <v>http://www.sec.gov/Archives/edgar/data/1432967/0001683168-16-000003-index.html</v>
      </c>
    </row>
    <row r="815" spans="1:6" x14ac:dyDescent="0.2">
      <c r="A815" t="s">
        <v>559</v>
      </c>
      <c r="B815" s="1">
        <v>1450390</v>
      </c>
      <c r="C815" s="1">
        <v>1311</v>
      </c>
      <c r="D815" s="2">
        <v>42614</v>
      </c>
      <c r="E815" s="1" t="s">
        <v>42</v>
      </c>
      <c r="F815" t="str">
        <f>HYPERLINK("http://www.sec.gov/Archives/edgar/data/1450390/0001206774-16-007150-index.html")</f>
        <v>http://www.sec.gov/Archives/edgar/data/1450390/0001206774-16-007150-index.html</v>
      </c>
    </row>
    <row r="816" spans="1:6" x14ac:dyDescent="0.2">
      <c r="A816" t="s">
        <v>559</v>
      </c>
      <c r="B816" s="1">
        <v>1450390</v>
      </c>
      <c r="C816" s="1">
        <v>1311</v>
      </c>
      <c r="D816" s="2">
        <v>42614</v>
      </c>
      <c r="E816" s="1" t="s">
        <v>18</v>
      </c>
      <c r="F816" t="str">
        <f>HYPERLINK("http://www.sec.gov/Archives/edgar/data/1450390/0001206774-16-007151-index.html")</f>
        <v>http://www.sec.gov/Archives/edgar/data/1450390/0001206774-16-007151-index.html</v>
      </c>
    </row>
    <row r="817" spans="1:6" x14ac:dyDescent="0.2">
      <c r="A817" t="s">
        <v>784</v>
      </c>
      <c r="B817" s="1">
        <v>1452164</v>
      </c>
      <c r="C817" s="1">
        <v>3652</v>
      </c>
      <c r="D817" s="2">
        <v>42614</v>
      </c>
      <c r="E817" s="1" t="s">
        <v>18</v>
      </c>
      <c r="F817" t="str">
        <f>HYPERLINK("http://www.sec.gov/Archives/edgar/data/1452164/0001580695-16-000678-index.html")</f>
        <v>http://www.sec.gov/Archives/edgar/data/1452164/0001580695-16-000678-index.html</v>
      </c>
    </row>
    <row r="818" spans="1:6" x14ac:dyDescent="0.2">
      <c r="A818" t="s">
        <v>785</v>
      </c>
      <c r="B818" s="1">
        <v>1525852</v>
      </c>
      <c r="C818" s="1">
        <v>2111</v>
      </c>
      <c r="D818" s="2">
        <v>42614</v>
      </c>
      <c r="E818" s="1" t="s">
        <v>18</v>
      </c>
      <c r="F818" t="str">
        <f>HYPERLINK("http://www.sec.gov/Archives/edgar/data/1525852/0001609876-16-000069-index.html")</f>
        <v>http://www.sec.gov/Archives/edgar/data/1525852/0001609876-16-000069-index.html</v>
      </c>
    </row>
    <row r="819" spans="1:6" x14ac:dyDescent="0.2">
      <c r="A819" t="s">
        <v>786</v>
      </c>
      <c r="B819" s="1">
        <v>866273</v>
      </c>
      <c r="C819" s="1">
        <v>1700</v>
      </c>
      <c r="D819" s="2">
        <v>42614</v>
      </c>
      <c r="E819" s="1" t="s">
        <v>18</v>
      </c>
      <c r="F819" t="str">
        <f>HYPERLINK("http://www.sec.gov/Archives/edgar/data/866273/0000866273-16-000209-index.html")</f>
        <v>http://www.sec.gov/Archives/edgar/data/866273/0000866273-16-000209-index.html</v>
      </c>
    </row>
    <row r="820" spans="1:6" x14ac:dyDescent="0.2">
      <c r="A820" t="s">
        <v>787</v>
      </c>
      <c r="B820" s="1">
        <v>896878</v>
      </c>
      <c r="C820" s="1">
        <v>7372</v>
      </c>
      <c r="D820" s="2">
        <v>42614</v>
      </c>
      <c r="E820" s="1" t="s">
        <v>18</v>
      </c>
      <c r="F820" t="str">
        <f>HYPERLINK("http://www.sec.gov/Archives/edgar/data/896878/0000896878-16-000286-index.html")</f>
        <v>http://www.sec.gov/Archives/edgar/data/896878/0000896878-16-000286-index.html</v>
      </c>
    </row>
    <row r="821" spans="1:6" x14ac:dyDescent="0.2">
      <c r="A821" t="s">
        <v>788</v>
      </c>
      <c r="B821" s="1">
        <v>103096</v>
      </c>
      <c r="C821" s="1">
        <v>8711</v>
      </c>
      <c r="D821" s="2">
        <v>42613</v>
      </c>
      <c r="E821" s="1" t="s">
        <v>18</v>
      </c>
      <c r="F821" t="str">
        <f>HYPERLINK("http://www.sec.gov/Archives/edgar/data/103096/0001511284-16-000127-index.html")</f>
        <v>http://www.sec.gov/Archives/edgar/data/103096/0001511284-16-000127-index.html</v>
      </c>
    </row>
    <row r="822" spans="1:6" x14ac:dyDescent="0.2">
      <c r="A822" t="s">
        <v>789</v>
      </c>
      <c r="B822" s="1">
        <v>1136711</v>
      </c>
      <c r="C822" s="1">
        <v>7389</v>
      </c>
      <c r="D822" s="2">
        <v>42613</v>
      </c>
      <c r="E822" s="1" t="s">
        <v>18</v>
      </c>
      <c r="F822" t="str">
        <f>HYPERLINK("http://www.sec.gov/Archives/edgar/data/1136711/0001262463-16-001023-index.html")</f>
        <v>http://www.sec.gov/Archives/edgar/data/1136711/0001262463-16-001023-index.html</v>
      </c>
    </row>
    <row r="823" spans="1:6" x14ac:dyDescent="0.2">
      <c r="A823" t="s">
        <v>790</v>
      </c>
      <c r="B823" s="1">
        <v>1388486</v>
      </c>
      <c r="C823" s="1">
        <v>2836</v>
      </c>
      <c r="D823" s="2">
        <v>42613</v>
      </c>
      <c r="E823" s="1" t="s">
        <v>18</v>
      </c>
      <c r="F823" t="str">
        <f>HYPERLINK("http://www.sec.gov/Archives/edgar/data/1388486/0001477932-16-012330-index.html")</f>
        <v>http://www.sec.gov/Archives/edgar/data/1388486/0001477932-16-012330-index.html</v>
      </c>
    </row>
    <row r="824" spans="1:6" x14ac:dyDescent="0.2">
      <c r="A824" t="s">
        <v>791</v>
      </c>
      <c r="B824" s="1">
        <v>1532158</v>
      </c>
      <c r="C824" s="1">
        <v>7990</v>
      </c>
      <c r="D824" s="2">
        <v>42613</v>
      </c>
      <c r="E824" s="1" t="s">
        <v>18</v>
      </c>
      <c r="F824" t="str">
        <f>HYPERLINK("http://www.sec.gov/Archives/edgar/data/1532158/0001213900-16-016495-index.html")</f>
        <v>http://www.sec.gov/Archives/edgar/data/1532158/0001213900-16-016495-index.html</v>
      </c>
    </row>
    <row r="825" spans="1:6" x14ac:dyDescent="0.2">
      <c r="A825" t="s">
        <v>792</v>
      </c>
      <c r="B825" s="1">
        <v>1585755</v>
      </c>
      <c r="C825" s="1">
        <v>7900</v>
      </c>
      <c r="D825" s="2">
        <v>42613</v>
      </c>
      <c r="E825" s="1" t="s">
        <v>42</v>
      </c>
      <c r="F825" t="str">
        <f>HYPERLINK("http://www.sec.gov/Archives/edgar/data/1585755/0001615774-16-007001-index.html")</f>
        <v>http://www.sec.gov/Archives/edgar/data/1585755/0001615774-16-007001-index.html</v>
      </c>
    </row>
    <row r="826" spans="1:6" x14ac:dyDescent="0.2">
      <c r="A826" t="s">
        <v>793</v>
      </c>
      <c r="B826" s="1">
        <v>67215</v>
      </c>
      <c r="C826" s="1">
        <v>1623</v>
      </c>
      <c r="D826" s="2">
        <v>42613</v>
      </c>
      <c r="E826" s="1" t="s">
        <v>18</v>
      </c>
      <c r="F826" t="str">
        <f>HYPERLINK("http://www.sec.gov/Archives/edgar/data/67215/0000067215-16-000096-index.html")</f>
        <v>http://www.sec.gov/Archives/edgar/data/67215/0000067215-16-000096-index.html</v>
      </c>
    </row>
    <row r="827" spans="1:6" x14ac:dyDescent="0.2">
      <c r="A827" t="s">
        <v>794</v>
      </c>
      <c r="B827" s="1">
        <v>1021096</v>
      </c>
      <c r="C827" s="1">
        <v>4841</v>
      </c>
      <c r="D827" s="2">
        <v>42612</v>
      </c>
      <c r="E827" s="1" t="s">
        <v>18</v>
      </c>
      <c r="F827" t="str">
        <f>HYPERLINK("http://www.sec.gov/Archives/edgar/data/1021096/0001117768-16-001483-index.html")</f>
        <v>http://www.sec.gov/Archives/edgar/data/1021096/0001117768-16-001483-index.html</v>
      </c>
    </row>
    <row r="828" spans="1:6" x14ac:dyDescent="0.2">
      <c r="A828" t="s">
        <v>795</v>
      </c>
      <c r="B828" s="1">
        <v>1089143</v>
      </c>
      <c r="C828" s="1">
        <v>7389</v>
      </c>
      <c r="D828" s="2">
        <v>42612</v>
      </c>
      <c r="E828" s="1" t="s">
        <v>18</v>
      </c>
      <c r="F828" t="str">
        <f>HYPERLINK("http://www.sec.gov/Archives/edgar/data/1089143/0001437749-16-038220-index.html")</f>
        <v>http://www.sec.gov/Archives/edgar/data/1089143/0001437749-16-038220-index.html</v>
      </c>
    </row>
    <row r="829" spans="1:6" x14ac:dyDescent="0.2">
      <c r="A829" t="s">
        <v>796</v>
      </c>
      <c r="B829" s="1">
        <v>1123312</v>
      </c>
      <c r="C829" s="1">
        <v>100</v>
      </c>
      <c r="D829" s="2">
        <v>42612</v>
      </c>
      <c r="E829" s="1" t="s">
        <v>42</v>
      </c>
      <c r="F829" t="str">
        <f>HYPERLINK("http://www.sec.gov/Archives/edgar/data/1123312/0001654954-16-001882-index.html")</f>
        <v>http://www.sec.gov/Archives/edgar/data/1123312/0001654954-16-001882-index.html</v>
      </c>
    </row>
    <row r="830" spans="1:6" x14ac:dyDescent="0.2">
      <c r="A830" t="s">
        <v>796</v>
      </c>
      <c r="B830" s="1">
        <v>1123312</v>
      </c>
      <c r="C830" s="1">
        <v>100</v>
      </c>
      <c r="D830" s="2">
        <v>42612</v>
      </c>
      <c r="E830" s="1" t="s">
        <v>18</v>
      </c>
      <c r="F830" t="str">
        <f>HYPERLINK("http://www.sec.gov/Archives/edgar/data/1123312/0001654954-16-001871-index.html")</f>
        <v>http://www.sec.gov/Archives/edgar/data/1123312/0001654954-16-001871-index.html</v>
      </c>
    </row>
    <row r="831" spans="1:6" x14ac:dyDescent="0.2">
      <c r="A831" t="s">
        <v>797</v>
      </c>
      <c r="B831" s="1">
        <v>1286345</v>
      </c>
      <c r="C831" s="1">
        <v>8742</v>
      </c>
      <c r="D831" s="2">
        <v>42612</v>
      </c>
      <c r="E831" s="1" t="s">
        <v>18</v>
      </c>
      <c r="F831" t="str">
        <f>HYPERLINK("http://www.sec.gov/Archives/edgar/data/1286345/0001286345-16-000103-index.html")</f>
        <v>http://www.sec.gov/Archives/edgar/data/1286345/0001286345-16-000103-index.html</v>
      </c>
    </row>
    <row r="832" spans="1:6" x14ac:dyDescent="0.2">
      <c r="A832" t="s">
        <v>798</v>
      </c>
      <c r="B832" s="1">
        <v>14195</v>
      </c>
      <c r="C832" s="1">
        <v>3510</v>
      </c>
      <c r="D832" s="2">
        <v>42612</v>
      </c>
      <c r="E832" s="1" t="s">
        <v>18</v>
      </c>
      <c r="F832" t="str">
        <f>HYPERLINK("http://www.sec.gov/Archives/edgar/data/14195/0000014195-16-000075-index.html")</f>
        <v>http://www.sec.gov/Archives/edgar/data/14195/0000014195-16-000075-index.html</v>
      </c>
    </row>
    <row r="833" spans="1:6" x14ac:dyDescent="0.2">
      <c r="A833" t="s">
        <v>41</v>
      </c>
      <c r="B833" s="1">
        <v>1518487</v>
      </c>
      <c r="C833" s="1">
        <v>4955</v>
      </c>
      <c r="D833" s="2">
        <v>42612</v>
      </c>
      <c r="E833" s="1" t="s">
        <v>18</v>
      </c>
      <c r="F833" t="str">
        <f>HYPERLINK("http://www.sec.gov/Archives/edgar/data/1518487/0001096906-16-001889-index.html")</f>
        <v>http://www.sec.gov/Archives/edgar/data/1518487/0001096906-16-001889-index.html</v>
      </c>
    </row>
    <row r="834" spans="1:6" x14ac:dyDescent="0.2">
      <c r="A834" t="s">
        <v>799</v>
      </c>
      <c r="B834" s="1">
        <v>1578348</v>
      </c>
      <c r="C834" s="1">
        <v>1531</v>
      </c>
      <c r="D834" s="2">
        <v>42612</v>
      </c>
      <c r="E834" s="1" t="s">
        <v>18</v>
      </c>
      <c r="F834" t="str">
        <f>HYPERLINK("http://www.sec.gov/Archives/edgar/data/1578348/0001144204-16-122036-index.html")</f>
        <v>http://www.sec.gov/Archives/edgar/data/1578348/0001144204-16-122036-index.html</v>
      </c>
    </row>
    <row r="835" spans="1:6" x14ac:dyDescent="0.2">
      <c r="A835" t="s">
        <v>800</v>
      </c>
      <c r="B835" s="1">
        <v>1618673</v>
      </c>
      <c r="C835" s="1">
        <v>5141</v>
      </c>
      <c r="D835" s="2">
        <v>42612</v>
      </c>
      <c r="E835" s="1" t="s">
        <v>18</v>
      </c>
      <c r="F835" t="str">
        <f>HYPERLINK("http://www.sec.gov/Archives/edgar/data/1618673/0001193125-16-696928-index.html")</f>
        <v>http://www.sec.gov/Archives/edgar/data/1618673/0001193125-16-696928-index.html</v>
      </c>
    </row>
    <row r="836" spans="1:6" x14ac:dyDescent="0.2">
      <c r="A836" t="s">
        <v>801</v>
      </c>
      <c r="B836" s="1">
        <v>55772</v>
      </c>
      <c r="C836" s="1">
        <v>2510</v>
      </c>
      <c r="D836" s="2">
        <v>42612</v>
      </c>
      <c r="E836" s="1" t="s">
        <v>18</v>
      </c>
      <c r="F836" t="str">
        <f>HYPERLINK("http://www.sec.gov/Archives/edgar/data/55772/0000055772-16-000064-index.html")</f>
        <v>http://www.sec.gov/Archives/edgar/data/55772/0000055772-16-000064-index.html</v>
      </c>
    </row>
    <row r="837" spans="1:6" x14ac:dyDescent="0.2">
      <c r="A837" t="s">
        <v>802</v>
      </c>
      <c r="B837" s="1">
        <v>749038</v>
      </c>
      <c r="C837" s="1">
        <v>3571</v>
      </c>
      <c r="D837" s="2">
        <v>42612</v>
      </c>
      <c r="E837" s="1" t="s">
        <v>18</v>
      </c>
      <c r="F837" t="str">
        <f>HYPERLINK("http://www.sec.gov/Archives/edgar/data/749038/0001144204-16-122127-index.html")</f>
        <v>http://www.sec.gov/Archives/edgar/data/749038/0001144204-16-122127-index.html</v>
      </c>
    </row>
    <row r="838" spans="1:6" x14ac:dyDescent="0.2">
      <c r="A838" t="s">
        <v>803</v>
      </c>
      <c r="B838" s="1">
        <v>912093</v>
      </c>
      <c r="C838" s="1">
        <v>3674</v>
      </c>
      <c r="D838" s="2">
        <v>42612</v>
      </c>
      <c r="E838" s="1" t="s">
        <v>18</v>
      </c>
      <c r="F838" t="str">
        <f>HYPERLINK("http://www.sec.gov/Archives/edgar/data/912093/0000912093-16-000035-index.html")</f>
        <v>http://www.sec.gov/Archives/edgar/data/912093/0000912093-16-000035-index.html</v>
      </c>
    </row>
    <row r="839" spans="1:6" x14ac:dyDescent="0.2">
      <c r="A839" t="s">
        <v>804</v>
      </c>
      <c r="B839" s="1">
        <v>96021</v>
      </c>
      <c r="C839" s="1">
        <v>5140</v>
      </c>
      <c r="D839" s="2">
        <v>42612</v>
      </c>
      <c r="E839" s="1" t="s">
        <v>18</v>
      </c>
      <c r="F839" t="str">
        <f>HYPERLINK("http://www.sec.gov/Archives/edgar/data/96021/0000096021-16-000275-index.html")</f>
        <v>http://www.sec.gov/Archives/edgar/data/96021/0000096021-16-000275-index.html</v>
      </c>
    </row>
    <row r="840" spans="1:6" x14ac:dyDescent="0.2">
      <c r="A840" t="s">
        <v>805</v>
      </c>
      <c r="B840" s="1">
        <v>1039757</v>
      </c>
      <c r="C840" s="1">
        <v>7373</v>
      </c>
      <c r="D840" s="2">
        <v>42611</v>
      </c>
      <c r="E840" s="1" t="s">
        <v>18</v>
      </c>
      <c r="F840" t="str">
        <f>HYPERLINK("http://www.sec.gov/Archives/edgar/data/1039757/0001213900-16-016446-index.html")</f>
        <v>http://www.sec.gov/Archives/edgar/data/1039757/0001213900-16-016446-index.html</v>
      </c>
    </row>
    <row r="841" spans="1:6" x14ac:dyDescent="0.2">
      <c r="A841" t="s">
        <v>806</v>
      </c>
      <c r="B841" s="1">
        <v>1040470</v>
      </c>
      <c r="C841" s="1">
        <v>3825</v>
      </c>
      <c r="D841" s="2">
        <v>42611</v>
      </c>
      <c r="E841" s="1" t="s">
        <v>18</v>
      </c>
      <c r="F841" t="str">
        <f>HYPERLINK("http://www.sec.gov/Archives/edgar/data/1040470/0001654954-16-001861-index.html")</f>
        <v>http://www.sec.gov/Archives/edgar/data/1040470/0001654954-16-001861-index.html</v>
      </c>
    </row>
    <row r="842" spans="1:6" x14ac:dyDescent="0.2">
      <c r="A842" t="s">
        <v>807</v>
      </c>
      <c r="B842" s="1">
        <v>106040</v>
      </c>
      <c r="C842" s="1">
        <v>3572</v>
      </c>
      <c r="D842" s="2">
        <v>42611</v>
      </c>
      <c r="E842" s="1" t="s">
        <v>18</v>
      </c>
      <c r="F842" t="str">
        <f>HYPERLINK("http://www.sec.gov/Archives/edgar/data/106040/0000106040-16-000033-index.html")</f>
        <v>http://www.sec.gov/Archives/edgar/data/106040/0000106040-16-000033-index.html</v>
      </c>
    </row>
    <row r="843" spans="1:6" x14ac:dyDescent="0.2">
      <c r="A843" t="s">
        <v>808</v>
      </c>
      <c r="B843" s="1">
        <v>1069899</v>
      </c>
      <c r="C843" s="1">
        <v>2834</v>
      </c>
      <c r="D843" s="2">
        <v>42611</v>
      </c>
      <c r="E843" s="1" t="s">
        <v>18</v>
      </c>
      <c r="F843" t="str">
        <f>HYPERLINK("http://www.sec.gov/Archives/edgar/data/1069899/0001571049-16-017853-index.html")</f>
        <v>http://www.sec.gov/Archives/edgar/data/1069899/0001571049-16-017853-index.html</v>
      </c>
    </row>
    <row r="844" spans="1:6" x14ac:dyDescent="0.2">
      <c r="A844" t="s">
        <v>809</v>
      </c>
      <c r="B844" s="1">
        <v>1073349</v>
      </c>
      <c r="C844" s="1">
        <v>7372</v>
      </c>
      <c r="D844" s="2">
        <v>42611</v>
      </c>
      <c r="E844" s="1" t="s">
        <v>18</v>
      </c>
      <c r="F844" t="str">
        <f>HYPERLINK("http://www.sec.gov/Archives/edgar/data/1073349/0001193125-16-694935-index.html")</f>
        <v>http://www.sec.gov/Archives/edgar/data/1073349/0001193125-16-694935-index.html</v>
      </c>
    </row>
    <row r="845" spans="1:6" x14ac:dyDescent="0.2">
      <c r="A845" t="s">
        <v>810</v>
      </c>
      <c r="B845" s="1">
        <v>1088413</v>
      </c>
      <c r="C845" s="1">
        <v>3559</v>
      </c>
      <c r="D845" s="2">
        <v>42611</v>
      </c>
      <c r="E845" s="1" t="s">
        <v>18</v>
      </c>
      <c r="F845" t="str">
        <f>HYPERLINK("http://www.sec.gov/Archives/edgar/data/1088413/0001493152-16-012968-index.html")</f>
        <v>http://www.sec.gov/Archives/edgar/data/1088413/0001493152-16-012968-index.html</v>
      </c>
    </row>
    <row r="846" spans="1:6" x14ac:dyDescent="0.2">
      <c r="A846" t="s">
        <v>484</v>
      </c>
      <c r="B846" s="1">
        <v>1287032</v>
      </c>
      <c r="C846" s="1">
        <v>7372</v>
      </c>
      <c r="D846" s="2">
        <v>42611</v>
      </c>
      <c r="E846" s="1" t="s">
        <v>18</v>
      </c>
      <c r="F846" t="str">
        <f>HYPERLINK("http://www.sec.gov/Archives/edgar/data/1287032/0001287032-16-000596-index.html")</f>
        <v>http://www.sec.gov/Archives/edgar/data/1287032/0001287032-16-000596-index.html</v>
      </c>
    </row>
    <row r="847" spans="1:6" x14ac:dyDescent="0.2">
      <c r="A847" t="s">
        <v>811</v>
      </c>
      <c r="B847" s="1">
        <v>1442492</v>
      </c>
      <c r="C847" s="1">
        <v>1311</v>
      </c>
      <c r="D847" s="2">
        <v>42611</v>
      </c>
      <c r="E847" s="1" t="s">
        <v>18</v>
      </c>
      <c r="F847" t="str">
        <f>HYPERLINK("http://www.sec.gov/Archives/edgar/data/1442492/0001654954-16-001866-index.html")</f>
        <v>http://www.sec.gov/Archives/edgar/data/1442492/0001654954-16-001866-index.html</v>
      </c>
    </row>
    <row r="848" spans="1:6" x14ac:dyDescent="0.2">
      <c r="A848" t="s">
        <v>812</v>
      </c>
      <c r="B848" s="1">
        <v>1497055</v>
      </c>
      <c r="C848" s="1">
        <v>700</v>
      </c>
      <c r="D848" s="2">
        <v>42611</v>
      </c>
      <c r="E848" s="1" t="s">
        <v>18</v>
      </c>
      <c r="F848" t="str">
        <f>HYPERLINK("http://www.sec.gov/Archives/edgar/data/1497055/0001393905-16-001032-index.html")</f>
        <v>http://www.sec.gov/Archives/edgar/data/1497055/0001393905-16-001032-index.html</v>
      </c>
    </row>
    <row r="849" spans="1:6" x14ac:dyDescent="0.2">
      <c r="A849" t="s">
        <v>813</v>
      </c>
      <c r="B849" s="1">
        <v>1499717</v>
      </c>
      <c r="C849" s="1">
        <v>7363</v>
      </c>
      <c r="D849" s="2">
        <v>42611</v>
      </c>
      <c r="E849" s="1" t="s">
        <v>18</v>
      </c>
      <c r="F849" t="str">
        <f>HYPERLINK("http://www.sec.gov/Archives/edgar/data/1499717/0001564590-16-024776-index.html")</f>
        <v>http://www.sec.gov/Archives/edgar/data/1499717/0001564590-16-024776-index.html</v>
      </c>
    </row>
    <row r="850" spans="1:6" x14ac:dyDescent="0.2">
      <c r="A850" t="s">
        <v>551</v>
      </c>
      <c r="B850" s="1">
        <v>1522222</v>
      </c>
      <c r="C850" s="1">
        <v>5900</v>
      </c>
      <c r="D850" s="2">
        <v>42611</v>
      </c>
      <c r="E850" s="1" t="s">
        <v>18</v>
      </c>
      <c r="F850" t="str">
        <f>HYPERLINK("http://www.sec.gov/Archives/edgar/data/1522222/0001185185-16-005361-index.html")</f>
        <v>http://www.sec.gov/Archives/edgar/data/1522222/0001185185-16-005361-index.html</v>
      </c>
    </row>
    <row r="851" spans="1:6" x14ac:dyDescent="0.2">
      <c r="A851" t="s">
        <v>814</v>
      </c>
      <c r="B851" s="1">
        <v>1596783</v>
      </c>
      <c r="C851" s="1">
        <v>2834</v>
      </c>
      <c r="D851" s="2">
        <v>42611</v>
      </c>
      <c r="E851" s="1" t="s">
        <v>18</v>
      </c>
      <c r="F851" t="str">
        <f>HYPERLINK("http://www.sec.gov/Archives/edgar/data/1596783/0001596783-16-000114-index.html")</f>
        <v>http://www.sec.gov/Archives/edgar/data/1596783/0001596783-16-000114-index.html</v>
      </c>
    </row>
    <row r="852" spans="1:6" x14ac:dyDescent="0.2">
      <c r="A852" t="s">
        <v>815</v>
      </c>
      <c r="B852" s="1">
        <v>1617242</v>
      </c>
      <c r="C852" s="1">
        <v>6035</v>
      </c>
      <c r="D852" s="2">
        <v>42611</v>
      </c>
      <c r="E852" s="1" t="s">
        <v>18</v>
      </c>
      <c r="F852" t="str">
        <f>HYPERLINK("http://www.sec.gov/Archives/edgar/data/1617242/0001564590-16-024782-index.html")</f>
        <v>http://www.sec.gov/Archives/edgar/data/1617242/0001564590-16-024782-index.html</v>
      </c>
    </row>
    <row r="853" spans="1:6" x14ac:dyDescent="0.2">
      <c r="A853" t="s">
        <v>816</v>
      </c>
      <c r="B853" s="1">
        <v>1647822</v>
      </c>
      <c r="C853" s="1">
        <v>7372</v>
      </c>
      <c r="D853" s="2">
        <v>42611</v>
      </c>
      <c r="E853" s="1" t="s">
        <v>18</v>
      </c>
      <c r="F853" t="str">
        <f>HYPERLINK("http://www.sec.gov/Archives/edgar/data/1647822/0001477932-16-012274-index.html")</f>
        <v>http://www.sec.gov/Archives/edgar/data/1647822/0001477932-16-012274-index.html</v>
      </c>
    </row>
    <row r="854" spans="1:6" x14ac:dyDescent="0.2">
      <c r="A854" t="s">
        <v>817</v>
      </c>
      <c r="B854" s="1">
        <v>1648365</v>
      </c>
      <c r="C854" s="1">
        <v>7310</v>
      </c>
      <c r="D854" s="2">
        <v>42611</v>
      </c>
      <c r="E854" s="1" t="s">
        <v>18</v>
      </c>
      <c r="F854" t="str">
        <f>HYPERLINK("http://www.sec.gov/Archives/edgar/data/1648365/0001607062-16-000974-index.html")</f>
        <v>http://www.sec.gov/Archives/edgar/data/1648365/0001607062-16-000974-index.html</v>
      </c>
    </row>
    <row r="855" spans="1:6" x14ac:dyDescent="0.2">
      <c r="A855" t="s">
        <v>818</v>
      </c>
      <c r="B855" s="1">
        <v>1652871</v>
      </c>
      <c r="C855" s="1">
        <v>3470</v>
      </c>
      <c r="D855" s="2">
        <v>42611</v>
      </c>
      <c r="E855" s="1" t="s">
        <v>18</v>
      </c>
      <c r="F855" t="str">
        <f>HYPERLINK("http://www.sec.gov/Archives/edgar/data/1652871/0001652871-16-000003-index.html")</f>
        <v>http://www.sec.gov/Archives/edgar/data/1652871/0001652871-16-000003-index.html</v>
      </c>
    </row>
    <row r="856" spans="1:6" x14ac:dyDescent="0.2">
      <c r="A856" t="s">
        <v>819</v>
      </c>
      <c r="B856" s="1">
        <v>202058</v>
      </c>
      <c r="C856" s="1">
        <v>3812</v>
      </c>
      <c r="D856" s="2">
        <v>42611</v>
      </c>
      <c r="E856" s="1" t="s">
        <v>18</v>
      </c>
      <c r="F856" t="str">
        <f>HYPERLINK("http://www.sec.gov/Archives/edgar/data/202058/0000202058-16-000022-index.html")</f>
        <v>http://www.sec.gov/Archives/edgar/data/202058/0000202058-16-000022-index.html</v>
      </c>
    </row>
    <row r="857" spans="1:6" x14ac:dyDescent="0.2">
      <c r="A857" t="s">
        <v>820</v>
      </c>
      <c r="B857" s="1">
        <v>5656</v>
      </c>
      <c r="C857" s="1">
        <v>1040</v>
      </c>
      <c r="D857" s="2">
        <v>42611</v>
      </c>
      <c r="E857" s="1" t="s">
        <v>18</v>
      </c>
      <c r="F857" t="str">
        <f>HYPERLINK("http://www.sec.gov/Archives/edgar/data/5656/0001052918-16-001269-index.html")</f>
        <v>http://www.sec.gov/Archives/edgar/data/5656/0001052918-16-001269-index.html</v>
      </c>
    </row>
    <row r="858" spans="1:6" x14ac:dyDescent="0.2">
      <c r="A858" t="s">
        <v>821</v>
      </c>
      <c r="B858" s="1">
        <v>57725</v>
      </c>
      <c r="C858" s="1">
        <v>2834</v>
      </c>
      <c r="D858" s="2">
        <v>42611</v>
      </c>
      <c r="E858" s="1" t="s">
        <v>18</v>
      </c>
      <c r="F858" t="str">
        <f>HYPERLINK("http://www.sec.gov/Archives/edgar/data/57725/0001104659-16-141905-index.html")</f>
        <v>http://www.sec.gov/Archives/edgar/data/57725/0001104659-16-141905-index.html</v>
      </c>
    </row>
    <row r="859" spans="1:6" x14ac:dyDescent="0.2">
      <c r="A859" t="s">
        <v>822</v>
      </c>
      <c r="B859" s="1">
        <v>703351</v>
      </c>
      <c r="C859" s="1">
        <v>5812</v>
      </c>
      <c r="D859" s="2">
        <v>42611</v>
      </c>
      <c r="E859" s="1" t="s">
        <v>18</v>
      </c>
      <c r="F859" t="str">
        <f>HYPERLINK("http://www.sec.gov/Archives/edgar/data/703351/0000703351-16-000098-index.html")</f>
        <v>http://www.sec.gov/Archives/edgar/data/703351/0000703351-16-000098-index.html</v>
      </c>
    </row>
    <row r="860" spans="1:6" x14ac:dyDescent="0.2">
      <c r="A860" t="s">
        <v>823</v>
      </c>
      <c r="B860" s="1">
        <v>73290</v>
      </c>
      <c r="C860" s="1">
        <v>3843</v>
      </c>
      <c r="D860" s="2">
        <v>42611</v>
      </c>
      <c r="E860" s="1" t="s">
        <v>18</v>
      </c>
      <c r="F860" t="str">
        <f>HYPERLINK("http://www.sec.gov/Archives/edgar/data/73290/0001513162-16-000987-index.html")</f>
        <v>http://www.sec.gov/Archives/edgar/data/73290/0001513162-16-000987-index.html</v>
      </c>
    </row>
    <row r="861" spans="1:6" x14ac:dyDescent="0.2">
      <c r="A861" t="s">
        <v>824</v>
      </c>
      <c r="B861" s="1">
        <v>779152</v>
      </c>
      <c r="C861" s="1">
        <v>7373</v>
      </c>
      <c r="D861" s="2">
        <v>42611</v>
      </c>
      <c r="E861" s="1" t="s">
        <v>18</v>
      </c>
      <c r="F861" t="str">
        <f>HYPERLINK("http://www.sec.gov/Archives/edgar/data/779152/0000779152-16-000142-index.html")</f>
        <v>http://www.sec.gov/Archives/edgar/data/779152/0000779152-16-000142-index.html</v>
      </c>
    </row>
    <row r="862" spans="1:6" x14ac:dyDescent="0.2">
      <c r="A862" t="s">
        <v>714</v>
      </c>
      <c r="B862" s="1">
        <v>835662</v>
      </c>
      <c r="C862" s="1">
        <v>8200</v>
      </c>
      <c r="D862" s="2">
        <v>42611</v>
      </c>
      <c r="E862" s="1" t="s">
        <v>18</v>
      </c>
      <c r="F862" t="str">
        <f>HYPERLINK("http://www.sec.gov/Archives/edgar/data/835662/0001493152-16-012953-index.html")</f>
        <v>http://www.sec.gov/Archives/edgar/data/835662/0001493152-16-012953-index.html</v>
      </c>
    </row>
    <row r="863" spans="1:6" x14ac:dyDescent="0.2">
      <c r="A863" t="s">
        <v>825</v>
      </c>
      <c r="B863" s="1">
        <v>836564</v>
      </c>
      <c r="C863" s="1">
        <v>6794</v>
      </c>
      <c r="D863" s="2">
        <v>42611</v>
      </c>
      <c r="E863" s="1" t="s">
        <v>18</v>
      </c>
      <c r="F863" t="str">
        <f>HYPERLINK("http://www.sec.gov/Archives/edgar/data/836564/0001019687-16-007390-index.html")</f>
        <v>http://www.sec.gov/Archives/edgar/data/836564/0001019687-16-007390-index.html</v>
      </c>
    </row>
    <row r="864" spans="1:6" x14ac:dyDescent="0.2">
      <c r="A864" t="s">
        <v>826</v>
      </c>
      <c r="B864" s="1">
        <v>842023</v>
      </c>
      <c r="C864" s="1">
        <v>2836</v>
      </c>
      <c r="D864" s="2">
        <v>42611</v>
      </c>
      <c r="E864" s="1" t="s">
        <v>18</v>
      </c>
      <c r="F864" t="str">
        <f>HYPERLINK("http://www.sec.gov/Archives/edgar/data/842023/0001437749-16-038182-index.html")</f>
        <v>http://www.sec.gov/Archives/edgar/data/842023/0001437749-16-038182-index.html</v>
      </c>
    </row>
    <row r="865" spans="1:6" x14ac:dyDescent="0.2">
      <c r="A865" t="s">
        <v>827</v>
      </c>
      <c r="B865" s="1">
        <v>918965</v>
      </c>
      <c r="C865" s="1">
        <v>5045</v>
      </c>
      <c r="D865" s="2">
        <v>42611</v>
      </c>
      <c r="E865" s="1" t="s">
        <v>18</v>
      </c>
      <c r="F865" t="str">
        <f>HYPERLINK("http://www.sec.gov/Archives/edgar/data/918965/0000918965-16-000052-index.html")</f>
        <v>http://www.sec.gov/Archives/edgar/data/918965/0000918965-16-000052-index.html</v>
      </c>
    </row>
    <row r="866" spans="1:6" x14ac:dyDescent="0.2">
      <c r="A866" t="s">
        <v>828</v>
      </c>
      <c r="B866" s="1">
        <v>96536</v>
      </c>
      <c r="C866" s="1">
        <v>3569</v>
      </c>
      <c r="D866" s="2">
        <v>42611</v>
      </c>
      <c r="E866" s="1" t="s">
        <v>18</v>
      </c>
      <c r="F866" t="str">
        <f>HYPERLINK("http://www.sec.gov/Archives/edgar/data/96536/0000096536-16-000053-index.html")</f>
        <v>http://www.sec.gov/Archives/edgar/data/96536/0000096536-16-000053-index.html</v>
      </c>
    </row>
    <row r="867" spans="1:6" x14ac:dyDescent="0.2">
      <c r="A867" t="s">
        <v>829</v>
      </c>
      <c r="B867" s="1">
        <v>100726</v>
      </c>
      <c r="C867" s="1">
        <v>2200</v>
      </c>
      <c r="D867" s="2">
        <v>42608</v>
      </c>
      <c r="E867" s="1" t="s">
        <v>18</v>
      </c>
      <c r="F867" t="str">
        <f>HYPERLINK("http://www.sec.gov/Archives/edgar/data/100726/0001437749-16-038127-index.html")</f>
        <v>http://www.sec.gov/Archives/edgar/data/100726/0001437749-16-038127-index.html</v>
      </c>
    </row>
    <row r="868" spans="1:6" x14ac:dyDescent="0.2">
      <c r="A868" t="s">
        <v>830</v>
      </c>
      <c r="B868" s="1">
        <v>1110647</v>
      </c>
      <c r="C868" s="1">
        <v>3674</v>
      </c>
      <c r="D868" s="2">
        <v>42608</v>
      </c>
      <c r="E868" s="1" t="s">
        <v>18</v>
      </c>
      <c r="F868" t="str">
        <f>HYPERLINK("http://www.sec.gov/Archives/edgar/data/1110647/0001628280-16-019264-index.html")</f>
        <v>http://www.sec.gov/Archives/edgar/data/1110647/0001628280-16-019264-index.html</v>
      </c>
    </row>
    <row r="869" spans="1:6" x14ac:dyDescent="0.2">
      <c r="A869" t="s">
        <v>831</v>
      </c>
      <c r="B869" s="1">
        <v>1375365</v>
      </c>
      <c r="C869" s="1">
        <v>3571</v>
      </c>
      <c r="D869" s="2">
        <v>42608</v>
      </c>
      <c r="E869" s="1" t="s">
        <v>18</v>
      </c>
      <c r="F869" t="str">
        <f>HYPERLINK("http://www.sec.gov/Archives/edgar/data/1375365/0001628280-16-019274-index.html")</f>
        <v>http://www.sec.gov/Archives/edgar/data/1375365/0001628280-16-019274-index.html</v>
      </c>
    </row>
    <row r="870" spans="1:6" x14ac:dyDescent="0.2">
      <c r="A870" t="s">
        <v>832</v>
      </c>
      <c r="B870" s="1">
        <v>1387467</v>
      </c>
      <c r="C870" s="1">
        <v>3674</v>
      </c>
      <c r="D870" s="2">
        <v>42608</v>
      </c>
      <c r="E870" s="1" t="s">
        <v>18</v>
      </c>
      <c r="F870" t="str">
        <f>HYPERLINK("http://www.sec.gov/Archives/edgar/data/1387467/0001387467-16-000204-index.html")</f>
        <v>http://www.sec.gov/Archives/edgar/data/1387467/0001387467-16-000204-index.html</v>
      </c>
    </row>
    <row r="871" spans="1:6" x14ac:dyDescent="0.2">
      <c r="A871" t="s">
        <v>833</v>
      </c>
      <c r="B871" s="1">
        <v>1502756</v>
      </c>
      <c r="C871" s="1">
        <v>4813</v>
      </c>
      <c r="D871" s="2">
        <v>42608</v>
      </c>
      <c r="E871" s="1" t="s">
        <v>18</v>
      </c>
      <c r="F871" t="str">
        <f>HYPERLINK("http://www.sec.gov/Archives/edgar/data/1502756/0001558370-16-008119-index.html")</f>
        <v>http://www.sec.gov/Archives/edgar/data/1502756/0001558370-16-008119-index.html</v>
      </c>
    </row>
    <row r="872" spans="1:6" x14ac:dyDescent="0.2">
      <c r="A872" t="s">
        <v>834</v>
      </c>
      <c r="B872" s="1">
        <v>1577916</v>
      </c>
      <c r="C872" s="1">
        <v>8741</v>
      </c>
      <c r="D872" s="2">
        <v>42608</v>
      </c>
      <c r="E872" s="1" t="s">
        <v>18</v>
      </c>
      <c r="F872" t="str">
        <f>HYPERLINK("http://www.sec.gov/Archives/edgar/data/1577916/0001577916-16-000029-index.html")</f>
        <v>http://www.sec.gov/Archives/edgar/data/1577916/0001577916-16-000029-index.html</v>
      </c>
    </row>
    <row r="873" spans="1:6" x14ac:dyDescent="0.2">
      <c r="A873" t="s">
        <v>835</v>
      </c>
      <c r="B873" s="1">
        <v>1608249</v>
      </c>
      <c r="C873" s="1">
        <v>4813</v>
      </c>
      <c r="D873" s="2">
        <v>42608</v>
      </c>
      <c r="E873" s="1" t="s">
        <v>18</v>
      </c>
      <c r="F873" t="str">
        <f>HYPERLINK("http://www.sec.gov/Archives/edgar/data/1608249/0001558370-16-008117-index.html")</f>
        <v>http://www.sec.gov/Archives/edgar/data/1608249/0001558370-16-008117-index.html</v>
      </c>
    </row>
    <row r="874" spans="1:6" x14ac:dyDescent="0.2">
      <c r="A874" t="s">
        <v>836</v>
      </c>
      <c r="B874" s="1">
        <v>1610457</v>
      </c>
      <c r="C874" s="1">
        <v>7200</v>
      </c>
      <c r="D874" s="2">
        <v>42608</v>
      </c>
      <c r="E874" s="1" t="s">
        <v>18</v>
      </c>
      <c r="F874" t="str">
        <f>HYPERLINK("http://www.sec.gov/Archives/edgar/data/1610457/0001213900-16-016418-index.html")</f>
        <v>http://www.sec.gov/Archives/edgar/data/1610457/0001213900-16-016418-index.html</v>
      </c>
    </row>
    <row r="875" spans="1:6" x14ac:dyDescent="0.2">
      <c r="A875" t="s">
        <v>837</v>
      </c>
      <c r="B875" s="1">
        <v>2034</v>
      </c>
      <c r="C875" s="1">
        <v>5122</v>
      </c>
      <c r="D875" s="2">
        <v>42608</v>
      </c>
      <c r="E875" s="1" t="s">
        <v>18</v>
      </c>
      <c r="F875" t="str">
        <f>HYPERLINK("http://www.sec.gov/Archives/edgar/data/2034/0001571049-16-017785-index.html")</f>
        <v>http://www.sec.gov/Archives/edgar/data/2034/0001571049-16-017785-index.html</v>
      </c>
    </row>
    <row r="876" spans="1:6" x14ac:dyDescent="0.2">
      <c r="A876" t="s">
        <v>838</v>
      </c>
      <c r="B876" s="1">
        <v>277375</v>
      </c>
      <c r="C876" s="1">
        <v>4923</v>
      </c>
      <c r="D876" s="2">
        <v>42608</v>
      </c>
      <c r="E876" s="1" t="s">
        <v>18</v>
      </c>
      <c r="F876" t="str">
        <f>HYPERLINK("http://www.sec.gov/Archives/edgar/data/277375/0000277375-16-000342-index.html")</f>
        <v>http://www.sec.gov/Archives/edgar/data/277375/0000277375-16-000342-index.html</v>
      </c>
    </row>
    <row r="877" spans="1:6" x14ac:dyDescent="0.2">
      <c r="A877" t="s">
        <v>839</v>
      </c>
      <c r="B877" s="1">
        <v>318299</v>
      </c>
      <c r="C877" s="1">
        <v>7389</v>
      </c>
      <c r="D877" s="2">
        <v>42608</v>
      </c>
      <c r="E877" s="1" t="s">
        <v>18</v>
      </c>
      <c r="F877" t="str">
        <f>HYPERLINK("http://www.sec.gov/Archives/edgar/data/318299/0001185185-16-005356-index.html")</f>
        <v>http://www.sec.gov/Archives/edgar/data/318299/0001185185-16-005356-index.html</v>
      </c>
    </row>
    <row r="878" spans="1:6" x14ac:dyDescent="0.2">
      <c r="A878" t="s">
        <v>840</v>
      </c>
      <c r="B878" s="1">
        <v>39648</v>
      </c>
      <c r="C878" s="1">
        <v>7200</v>
      </c>
      <c r="D878" s="2">
        <v>42608</v>
      </c>
      <c r="E878" s="1" t="s">
        <v>18</v>
      </c>
      <c r="F878" t="str">
        <f>HYPERLINK("http://www.sec.gov/Archives/edgar/data/39648/0000039648-16-000043-index.html")</f>
        <v>http://www.sec.gov/Archives/edgar/data/39648/0000039648-16-000043-index.html</v>
      </c>
    </row>
    <row r="879" spans="1:6" x14ac:dyDescent="0.2">
      <c r="A879" t="s">
        <v>841</v>
      </c>
      <c r="B879" s="1">
        <v>65011</v>
      </c>
      <c r="C879" s="1">
        <v>2721</v>
      </c>
      <c r="D879" s="2">
        <v>42608</v>
      </c>
      <c r="E879" s="1" t="s">
        <v>18</v>
      </c>
      <c r="F879" t="str">
        <f>HYPERLINK("http://www.sec.gov/Archives/edgar/data/65011/0000065011-16-000334-index.html")</f>
        <v>http://www.sec.gov/Archives/edgar/data/65011/0000065011-16-000334-index.html</v>
      </c>
    </row>
    <row r="880" spans="1:6" x14ac:dyDescent="0.2">
      <c r="A880" t="s">
        <v>842</v>
      </c>
      <c r="B880" s="1">
        <v>76334</v>
      </c>
      <c r="C880" s="1">
        <v>3490</v>
      </c>
      <c r="D880" s="2">
        <v>42608</v>
      </c>
      <c r="E880" s="1" t="s">
        <v>18</v>
      </c>
      <c r="F880" t="str">
        <f>HYPERLINK("http://www.sec.gov/Archives/edgar/data/76334/0000076334-16-000196-index.html")</f>
        <v>http://www.sec.gov/Archives/edgar/data/76334/0000076334-16-000196-index.html</v>
      </c>
    </row>
    <row r="881" spans="1:6" x14ac:dyDescent="0.2">
      <c r="A881" t="s">
        <v>843</v>
      </c>
      <c r="B881" s="1">
        <v>817720</v>
      </c>
      <c r="C881" s="1">
        <v>7371</v>
      </c>
      <c r="D881" s="2">
        <v>42608</v>
      </c>
      <c r="E881" s="1" t="s">
        <v>18</v>
      </c>
      <c r="F881" t="str">
        <f>HYPERLINK("http://www.sec.gov/Archives/edgar/data/817720/0001564590-16-024739-index.html")</f>
        <v>http://www.sec.gov/Archives/edgar/data/817720/0001564590-16-024739-index.html</v>
      </c>
    </row>
    <row r="882" spans="1:6" x14ac:dyDescent="0.2">
      <c r="A882" t="s">
        <v>844</v>
      </c>
      <c r="B882" s="1">
        <v>820318</v>
      </c>
      <c r="C882" s="1">
        <v>3827</v>
      </c>
      <c r="D882" s="2">
        <v>42608</v>
      </c>
      <c r="E882" s="1" t="s">
        <v>18</v>
      </c>
      <c r="F882" t="str">
        <f>HYPERLINK("http://www.sec.gov/Archives/edgar/data/820318/0001564590-16-024750-index.html")</f>
        <v>http://www.sec.gov/Archives/edgar/data/820318/0001564590-16-024750-index.html</v>
      </c>
    </row>
    <row r="883" spans="1:6" x14ac:dyDescent="0.2">
      <c r="A883" t="s">
        <v>845</v>
      </c>
      <c r="B883" s="1">
        <v>1041514</v>
      </c>
      <c r="C883" s="1">
        <v>6099</v>
      </c>
      <c r="D883" s="2">
        <v>42607</v>
      </c>
      <c r="E883" s="1" t="s">
        <v>18</v>
      </c>
      <c r="F883" t="str">
        <f>HYPERLINK("http://www.sec.gov/Archives/edgar/data/1041514/0001062993-16-011301-index.html")</f>
        <v>http://www.sec.gov/Archives/edgar/data/1041514/0001062993-16-011301-index.html</v>
      </c>
    </row>
    <row r="884" spans="1:6" x14ac:dyDescent="0.2">
      <c r="A884" t="s">
        <v>846</v>
      </c>
      <c r="B884" s="1">
        <v>1180145</v>
      </c>
      <c r="C884" s="1">
        <v>3841</v>
      </c>
      <c r="D884" s="2">
        <v>42607</v>
      </c>
      <c r="E884" s="1" t="s">
        <v>18</v>
      </c>
      <c r="F884" t="str">
        <f>HYPERLINK("http://www.sec.gov/Archives/edgar/data/1180145/0001180145-16-000096-index.html")</f>
        <v>http://www.sec.gov/Archives/edgar/data/1180145/0001180145-16-000096-index.html</v>
      </c>
    </row>
    <row r="885" spans="1:6" x14ac:dyDescent="0.2">
      <c r="A885" t="s">
        <v>847</v>
      </c>
      <c r="B885" s="1">
        <v>1299709</v>
      </c>
      <c r="C885" s="1">
        <v>6035</v>
      </c>
      <c r="D885" s="2">
        <v>42607</v>
      </c>
      <c r="E885" s="1" t="s">
        <v>18</v>
      </c>
      <c r="F885" t="str">
        <f>HYPERLINK("http://www.sec.gov/Archives/edgar/data/1299709/0001299709-16-000267-index.html")</f>
        <v>http://www.sec.gov/Archives/edgar/data/1299709/0001299709-16-000267-index.html</v>
      </c>
    </row>
    <row r="886" spans="1:6" x14ac:dyDescent="0.2">
      <c r="A886" t="s">
        <v>848</v>
      </c>
      <c r="B886" s="1">
        <v>1376316</v>
      </c>
      <c r="C886" s="1">
        <v>1000</v>
      </c>
      <c r="D886" s="2">
        <v>42607</v>
      </c>
      <c r="E886" s="1" t="s">
        <v>18</v>
      </c>
      <c r="F886" t="str">
        <f>HYPERLINK("http://www.sec.gov/Archives/edgar/data/1376316/0001078782-16-003343-index.html")</f>
        <v>http://www.sec.gov/Archives/edgar/data/1376316/0001078782-16-003343-index.html</v>
      </c>
    </row>
    <row r="887" spans="1:6" x14ac:dyDescent="0.2">
      <c r="A887" t="s">
        <v>40</v>
      </c>
      <c r="B887" s="1">
        <v>1435064</v>
      </c>
      <c r="C887" s="1">
        <v>3829</v>
      </c>
      <c r="D887" s="2">
        <v>42607</v>
      </c>
      <c r="E887" s="1" t="s">
        <v>42</v>
      </c>
      <c r="F887" t="str">
        <f>HYPERLINK("http://www.sec.gov/Archives/edgar/data/1435064/0001144204-16-121189-index.html")</f>
        <v>http://www.sec.gov/Archives/edgar/data/1435064/0001144204-16-121189-index.html</v>
      </c>
    </row>
    <row r="888" spans="1:6" x14ac:dyDescent="0.2">
      <c r="A888" t="s">
        <v>849</v>
      </c>
      <c r="B888" s="1">
        <v>1496631</v>
      </c>
      <c r="C888" s="1">
        <v>6022</v>
      </c>
      <c r="D888" s="2">
        <v>42607</v>
      </c>
      <c r="E888" s="1" t="s">
        <v>18</v>
      </c>
      <c r="F888" t="str">
        <f>HYPERLINK("http://www.sec.gov/Archives/edgar/data/1496631/0001496631-16-000088-index.html")</f>
        <v>http://www.sec.gov/Archives/edgar/data/1496631/0001496631-16-000088-index.html</v>
      </c>
    </row>
    <row r="889" spans="1:6" x14ac:dyDescent="0.2">
      <c r="A889" t="s">
        <v>850</v>
      </c>
      <c r="B889" s="1">
        <v>1510832</v>
      </c>
      <c r="C889" s="1">
        <v>1700</v>
      </c>
      <c r="D889" s="2">
        <v>42607</v>
      </c>
      <c r="E889" s="1" t="s">
        <v>42</v>
      </c>
      <c r="F889" t="str">
        <f>HYPERLINK("http://www.sec.gov/Archives/edgar/data/1510832/0001493152-16-012871-index.html")</f>
        <v>http://www.sec.gov/Archives/edgar/data/1510832/0001493152-16-012871-index.html</v>
      </c>
    </row>
    <row r="890" spans="1:6" x14ac:dyDescent="0.2">
      <c r="A890" t="s">
        <v>851</v>
      </c>
      <c r="B890" s="1">
        <v>1606757</v>
      </c>
      <c r="C890" s="1">
        <v>3672</v>
      </c>
      <c r="D890" s="2">
        <v>42607</v>
      </c>
      <c r="E890" s="1" t="s">
        <v>18</v>
      </c>
      <c r="F890" t="str">
        <f>HYPERLINK("http://www.sec.gov/Archives/edgar/data/1606757/0001606757-16-000065-index.html")</f>
        <v>http://www.sec.gov/Archives/edgar/data/1606757/0001606757-16-000065-index.html</v>
      </c>
    </row>
    <row r="891" spans="1:6" x14ac:dyDescent="0.2">
      <c r="A891" t="s">
        <v>852</v>
      </c>
      <c r="B891" s="1">
        <v>310354</v>
      </c>
      <c r="C891" s="1">
        <v>3580</v>
      </c>
      <c r="D891" s="2">
        <v>42607</v>
      </c>
      <c r="E891" s="1" t="s">
        <v>18</v>
      </c>
      <c r="F891" t="str">
        <f>HYPERLINK("http://www.sec.gov/Archives/edgar/data/310354/0000310354-16-000077-index.html")</f>
        <v>http://www.sec.gov/Archives/edgar/data/310354/0000310354-16-000077-index.html</v>
      </c>
    </row>
    <row r="892" spans="1:6" x14ac:dyDescent="0.2">
      <c r="A892" t="s">
        <v>853</v>
      </c>
      <c r="B892" s="1">
        <v>56701</v>
      </c>
      <c r="C892" s="1">
        <v>3651</v>
      </c>
      <c r="D892" s="2">
        <v>42607</v>
      </c>
      <c r="E892" s="1" t="s">
        <v>18</v>
      </c>
      <c r="F892" t="str">
        <f>HYPERLINK("http://www.sec.gov/Archives/edgar/data/56701/0000056701-16-000084-index.html")</f>
        <v>http://www.sec.gov/Archives/edgar/data/56701/0000056701-16-000084-index.html</v>
      </c>
    </row>
    <row r="893" spans="1:6" x14ac:dyDescent="0.2">
      <c r="A893" t="s">
        <v>854</v>
      </c>
      <c r="B893" s="1">
        <v>70502</v>
      </c>
      <c r="C893" s="1">
        <v>6159</v>
      </c>
      <c r="D893" s="2">
        <v>42607</v>
      </c>
      <c r="E893" s="1" t="s">
        <v>18</v>
      </c>
      <c r="F893" t="str">
        <f>HYPERLINK("http://www.sec.gov/Archives/edgar/data/70502/0000070502-16-000773-index.html")</f>
        <v>http://www.sec.gov/Archives/edgar/data/70502/0000070502-16-000773-index.html</v>
      </c>
    </row>
    <row r="894" spans="1:6" x14ac:dyDescent="0.2">
      <c r="A894" t="s">
        <v>855</v>
      </c>
      <c r="B894" s="1">
        <v>730464</v>
      </c>
      <c r="C894" s="1">
        <v>8200</v>
      </c>
      <c r="D894" s="2">
        <v>42607</v>
      </c>
      <c r="E894" s="1" t="s">
        <v>18</v>
      </c>
      <c r="F894" t="str">
        <f>HYPERLINK("http://www.sec.gov/Archives/edgar/data/730464/0001144204-16-121173-index.html")</f>
        <v>http://www.sec.gov/Archives/edgar/data/730464/0001144204-16-121173-index.html</v>
      </c>
    </row>
    <row r="895" spans="1:6" x14ac:dyDescent="0.2">
      <c r="A895" t="s">
        <v>768</v>
      </c>
      <c r="B895" s="1">
        <v>75439</v>
      </c>
      <c r="C895" s="1">
        <v>3841</v>
      </c>
      <c r="D895" s="2">
        <v>42607</v>
      </c>
      <c r="E895" s="1" t="s">
        <v>42</v>
      </c>
      <c r="F895" t="str">
        <f>HYPERLINK("http://www.sec.gov/Archives/edgar/data/75439/0001415889-16-006980-index.html")</f>
        <v>http://www.sec.gov/Archives/edgar/data/75439/0001415889-16-006980-index.html</v>
      </c>
    </row>
    <row r="896" spans="1:6" x14ac:dyDescent="0.2">
      <c r="A896" t="s">
        <v>856</v>
      </c>
      <c r="B896" s="1">
        <v>791907</v>
      </c>
      <c r="C896" s="1">
        <v>3674</v>
      </c>
      <c r="D896" s="2">
        <v>42607</v>
      </c>
      <c r="E896" s="1" t="s">
        <v>18</v>
      </c>
      <c r="F896" t="str">
        <f>HYPERLINK("http://www.sec.gov/Archives/edgar/data/791907/0000791907-16-000207-index.html")</f>
        <v>http://www.sec.gov/Archives/edgar/data/791907/0000791907-16-000207-index.html</v>
      </c>
    </row>
    <row r="897" spans="1:6" x14ac:dyDescent="0.2">
      <c r="A897" t="s">
        <v>857</v>
      </c>
      <c r="B897" s="1">
        <v>855654</v>
      </c>
      <c r="C897" s="1">
        <v>2834</v>
      </c>
      <c r="D897" s="2">
        <v>42607</v>
      </c>
      <c r="E897" s="1" t="s">
        <v>18</v>
      </c>
      <c r="F897" t="str">
        <f>HYPERLINK("http://www.sec.gov/Archives/edgar/data/855654/0001558370-16-008099-index.html")</f>
        <v>http://www.sec.gov/Archives/edgar/data/855654/0001558370-16-008099-index.html</v>
      </c>
    </row>
    <row r="898" spans="1:6" x14ac:dyDescent="0.2">
      <c r="A898" t="s">
        <v>858</v>
      </c>
      <c r="B898" s="1">
        <v>895419</v>
      </c>
      <c r="C898" s="1">
        <v>3674</v>
      </c>
      <c r="D898" s="2">
        <v>42607</v>
      </c>
      <c r="E898" s="1" t="s">
        <v>18</v>
      </c>
      <c r="F898" t="str">
        <f>HYPERLINK("http://www.sec.gov/Archives/edgar/data/895419/0000895419-16-000167-index.html")</f>
        <v>http://www.sec.gov/Archives/edgar/data/895419/0000895419-16-000167-index.html</v>
      </c>
    </row>
    <row r="899" spans="1:6" x14ac:dyDescent="0.2">
      <c r="A899" t="s">
        <v>859</v>
      </c>
      <c r="B899" s="1">
        <v>898770</v>
      </c>
      <c r="C899" s="1">
        <v>4955</v>
      </c>
      <c r="D899" s="2">
        <v>42607</v>
      </c>
      <c r="E899" s="1" t="s">
        <v>18</v>
      </c>
      <c r="F899" t="str">
        <f>HYPERLINK("http://www.sec.gov/Archives/edgar/data/898770/0001140361-16-077870-index.html")</f>
        <v>http://www.sec.gov/Archives/edgar/data/898770/0001140361-16-077870-index.html</v>
      </c>
    </row>
    <row r="900" spans="1:6" x14ac:dyDescent="0.2">
      <c r="A900" t="s">
        <v>860</v>
      </c>
      <c r="B900" s="1">
        <v>1481504</v>
      </c>
      <c r="C900" s="1">
        <v>5940</v>
      </c>
      <c r="D900" s="2">
        <v>42607</v>
      </c>
      <c r="E900" s="1" t="s">
        <v>18</v>
      </c>
      <c r="F900" t="str">
        <f>HYPERLINK("http://www.sec.gov/Archives/edgar/data/1481504/0001477932-16-012229-index.html")</f>
        <v>http://www.sec.gov/Archives/edgar/data/1481504/0001477932-16-012229-index.html</v>
      </c>
    </row>
    <row r="901" spans="1:6" x14ac:dyDescent="0.2">
      <c r="A901" t="s">
        <v>861</v>
      </c>
      <c r="B901" s="1">
        <v>1001250</v>
      </c>
      <c r="C901" s="1">
        <v>2844</v>
      </c>
      <c r="D901" s="2">
        <v>42606</v>
      </c>
      <c r="E901" s="1" t="s">
        <v>18</v>
      </c>
      <c r="F901" t="str">
        <f>HYPERLINK("http://www.sec.gov/Archives/edgar/data/1001250/0001104659-16-141179-index.html")</f>
        <v>http://www.sec.gov/Archives/edgar/data/1001250/0001104659-16-141179-index.html</v>
      </c>
    </row>
    <row r="902" spans="1:6" x14ac:dyDescent="0.2">
      <c r="A902" t="s">
        <v>862</v>
      </c>
      <c r="B902" s="1">
        <v>109563</v>
      </c>
      <c r="C902" s="1">
        <v>5080</v>
      </c>
      <c r="D902" s="2">
        <v>42606</v>
      </c>
      <c r="E902" s="1" t="s">
        <v>18</v>
      </c>
      <c r="F902" t="str">
        <f>HYPERLINK("http://www.sec.gov/Archives/edgar/data/109563/0000109563-16-000283-index.html")</f>
        <v>http://www.sec.gov/Archives/edgar/data/109563/0000109563-16-000283-index.html</v>
      </c>
    </row>
    <row r="903" spans="1:6" x14ac:dyDescent="0.2">
      <c r="A903" t="s">
        <v>863</v>
      </c>
      <c r="B903" s="1">
        <v>1114925</v>
      </c>
      <c r="C903" s="1">
        <v>3576</v>
      </c>
      <c r="D903" s="2">
        <v>42606</v>
      </c>
      <c r="E903" s="1" t="s">
        <v>18</v>
      </c>
      <c r="F903" t="str">
        <f>HYPERLINK("http://www.sec.gov/Archives/edgar/data/1114925/0001019687-16-007351-index.html")</f>
        <v>http://www.sec.gov/Archives/edgar/data/1114925/0001019687-16-007351-index.html</v>
      </c>
    </row>
    <row r="904" spans="1:6" x14ac:dyDescent="0.2">
      <c r="A904" t="s">
        <v>864</v>
      </c>
      <c r="B904" s="1">
        <v>1138723</v>
      </c>
      <c r="C904" s="1">
        <v>3841</v>
      </c>
      <c r="D904" s="2">
        <v>42606</v>
      </c>
      <c r="E904" s="1" t="s">
        <v>18</v>
      </c>
      <c r="F904" t="str">
        <f>HYPERLINK("http://www.sec.gov/Archives/edgar/data/1138723/0001047469-16-015108-index.html")</f>
        <v>http://www.sec.gov/Archives/edgar/data/1138723/0001047469-16-015108-index.html</v>
      </c>
    </row>
    <row r="905" spans="1:6" x14ac:dyDescent="0.2">
      <c r="A905" t="s">
        <v>865</v>
      </c>
      <c r="B905" s="1">
        <v>1487252</v>
      </c>
      <c r="C905" s="1">
        <v>3844</v>
      </c>
      <c r="D905" s="2">
        <v>42606</v>
      </c>
      <c r="E905" s="1" t="s">
        <v>42</v>
      </c>
      <c r="F905" t="str">
        <f>HYPERLINK("http://www.sec.gov/Archives/edgar/data/1487252/0001504412-16-000309-index.html")</f>
        <v>http://www.sec.gov/Archives/edgar/data/1487252/0001504412-16-000309-index.html</v>
      </c>
    </row>
    <row r="906" spans="1:6" x14ac:dyDescent="0.2">
      <c r="A906" t="s">
        <v>866</v>
      </c>
      <c r="B906" s="1">
        <v>16058</v>
      </c>
      <c r="C906" s="1">
        <v>7373</v>
      </c>
      <c r="D906" s="2">
        <v>42606</v>
      </c>
      <c r="E906" s="1" t="s">
        <v>18</v>
      </c>
      <c r="F906" t="str">
        <f>HYPERLINK("http://www.sec.gov/Archives/edgar/data/16058/0001564590-16-024672-index.html")</f>
        <v>http://www.sec.gov/Archives/edgar/data/16058/0001564590-16-024672-index.html</v>
      </c>
    </row>
    <row r="907" spans="1:6" x14ac:dyDescent="0.2">
      <c r="A907" t="s">
        <v>867</v>
      </c>
      <c r="B907" s="1">
        <v>37472</v>
      </c>
      <c r="C907" s="1">
        <v>2510</v>
      </c>
      <c r="D907" s="2">
        <v>42606</v>
      </c>
      <c r="E907" s="1" t="s">
        <v>18</v>
      </c>
      <c r="F907" t="str">
        <f>HYPERLINK("http://www.sec.gov/Archives/edgar/data/37472/0000897101-16-002836-index.html")</f>
        <v>http://www.sec.gov/Archives/edgar/data/37472/0000897101-16-002836-index.html</v>
      </c>
    </row>
    <row r="908" spans="1:6" x14ac:dyDescent="0.2">
      <c r="A908" t="s">
        <v>868</v>
      </c>
      <c r="B908" s="1">
        <v>57515</v>
      </c>
      <c r="C908" s="1">
        <v>2030</v>
      </c>
      <c r="D908" s="2">
        <v>42606</v>
      </c>
      <c r="E908" s="1" t="s">
        <v>18</v>
      </c>
      <c r="F908" t="str">
        <f>HYPERLINK("http://www.sec.gov/Archives/edgar/data/57515/0000057515-16-000050-index.html")</f>
        <v>http://www.sec.gov/Archives/edgar/data/57515/0000057515-16-000050-index.html</v>
      </c>
    </row>
    <row r="909" spans="1:6" x14ac:dyDescent="0.2">
      <c r="A909" t="s">
        <v>869</v>
      </c>
      <c r="B909" s="1">
        <v>880117</v>
      </c>
      <c r="C909" s="1">
        <v>2060</v>
      </c>
      <c r="D909" s="2">
        <v>42606</v>
      </c>
      <c r="E909" s="1" t="s">
        <v>18</v>
      </c>
      <c r="F909" t="str">
        <f>HYPERLINK("http://www.sec.gov/Archives/edgar/data/880117/0001193125-16-689942-index.html")</f>
        <v>http://www.sec.gov/Archives/edgar/data/880117/0001193125-16-689942-index.html</v>
      </c>
    </row>
    <row r="910" spans="1:6" x14ac:dyDescent="0.2">
      <c r="A910" t="s">
        <v>870</v>
      </c>
      <c r="B910" s="1">
        <v>93676</v>
      </c>
      <c r="C910" s="1">
        <v>3420</v>
      </c>
      <c r="D910" s="2">
        <v>42606</v>
      </c>
      <c r="E910" s="1" t="s">
        <v>18</v>
      </c>
      <c r="F910" t="str">
        <f>HYPERLINK("http://www.sec.gov/Archives/edgar/data/93676/0001437749-16-038031-index.html")</f>
        <v>http://www.sec.gov/Archives/edgar/data/93676/0001437749-16-038031-index.html</v>
      </c>
    </row>
    <row r="911" spans="1:6" x14ac:dyDescent="0.2">
      <c r="A911" t="s">
        <v>871</v>
      </c>
      <c r="B911" s="1">
        <v>1503518</v>
      </c>
      <c r="C911" s="1">
        <v>8011</v>
      </c>
      <c r="D911" s="2">
        <v>42605</v>
      </c>
      <c r="E911" s="1" t="s">
        <v>42</v>
      </c>
      <c r="F911" t="str">
        <f>HYPERLINK("http://www.sec.gov/Archives/edgar/data/1503518/0001047469-16-015098-index.html")</f>
        <v>http://www.sec.gov/Archives/edgar/data/1503518/0001047469-16-015098-index.html</v>
      </c>
    </row>
    <row r="912" spans="1:6" x14ac:dyDescent="0.2">
      <c r="A912" t="s">
        <v>871</v>
      </c>
      <c r="B912" s="1">
        <v>1503518</v>
      </c>
      <c r="C912" s="1">
        <v>8011</v>
      </c>
      <c r="D912" s="2">
        <v>42605</v>
      </c>
      <c r="E912" s="1" t="s">
        <v>18</v>
      </c>
      <c r="F912" t="str">
        <f>HYPERLINK("http://www.sec.gov/Archives/edgar/data/1503518/0001047469-16-015101-index.html")</f>
        <v>http://www.sec.gov/Archives/edgar/data/1503518/0001047469-16-015101-index.html</v>
      </c>
    </row>
    <row r="913" spans="1:6" x14ac:dyDescent="0.2">
      <c r="A913" t="s">
        <v>872</v>
      </c>
      <c r="B913" s="1">
        <v>1507964</v>
      </c>
      <c r="C913" s="1">
        <v>1040</v>
      </c>
      <c r="D913" s="2">
        <v>42605</v>
      </c>
      <c r="E913" s="1" t="s">
        <v>18</v>
      </c>
      <c r="F913" t="str">
        <f>HYPERLINK("http://www.sec.gov/Archives/edgar/data/1507964/0001279569-16-004235-index.html")</f>
        <v>http://www.sec.gov/Archives/edgar/data/1507964/0001279569-16-004235-index.html</v>
      </c>
    </row>
    <row r="914" spans="1:6" x14ac:dyDescent="0.2">
      <c r="A914" t="s">
        <v>873</v>
      </c>
      <c r="B914" s="1">
        <v>1645926</v>
      </c>
      <c r="C914" s="1">
        <v>2650</v>
      </c>
      <c r="D914" s="2">
        <v>42605</v>
      </c>
      <c r="E914" s="1" t="s">
        <v>18</v>
      </c>
      <c r="F914" t="str">
        <f>HYPERLINK("http://www.sec.gov/Archives/edgar/data/1645926/0001558370-16-008071-index.html")</f>
        <v>http://www.sec.gov/Archives/edgar/data/1645926/0001558370-16-008071-index.html</v>
      </c>
    </row>
    <row r="915" spans="1:6" x14ac:dyDescent="0.2">
      <c r="A915" t="s">
        <v>874</v>
      </c>
      <c r="B915" s="1">
        <v>716643</v>
      </c>
      <c r="C915" s="1">
        <v>7200</v>
      </c>
      <c r="D915" s="2">
        <v>42605</v>
      </c>
      <c r="E915" s="1" t="s">
        <v>18</v>
      </c>
      <c r="F915" t="str">
        <f>HYPERLINK("http://www.sec.gov/Archives/edgar/data/716643/0000716643-16-000086-index.html")</f>
        <v>http://www.sec.gov/Archives/edgar/data/716643/0000716643-16-000086-index.html</v>
      </c>
    </row>
    <row r="916" spans="1:6" x14ac:dyDescent="0.2">
      <c r="A916" t="s">
        <v>875</v>
      </c>
      <c r="B916" s="1">
        <v>1474439</v>
      </c>
      <c r="C916" s="1">
        <v>3812</v>
      </c>
      <c r="D916" s="2">
        <v>42604</v>
      </c>
      <c r="E916" s="1" t="s">
        <v>18</v>
      </c>
      <c r="F916" t="str">
        <f>HYPERLINK("http://www.sec.gov/Archives/edgar/data/1474439/0001474439-16-000184-index.html")</f>
        <v>http://www.sec.gov/Archives/edgar/data/1474439/0001474439-16-000184-index.html</v>
      </c>
    </row>
    <row r="917" spans="1:6" x14ac:dyDescent="0.2">
      <c r="A917" t="s">
        <v>876</v>
      </c>
      <c r="B917" s="1">
        <v>1504389</v>
      </c>
      <c r="C917" s="1">
        <v>2834</v>
      </c>
      <c r="D917" s="2">
        <v>42604</v>
      </c>
      <c r="E917" s="1" t="s">
        <v>18</v>
      </c>
      <c r="F917" t="str">
        <f>HYPERLINK("http://www.sec.gov/Archives/edgar/data/1504389/0001662252-16-000212-index.html")</f>
        <v>http://www.sec.gov/Archives/edgar/data/1504389/0001662252-16-000212-index.html</v>
      </c>
    </row>
    <row r="918" spans="1:6" x14ac:dyDescent="0.2">
      <c r="A918" t="s">
        <v>877</v>
      </c>
      <c r="B918" s="1">
        <v>1511737</v>
      </c>
      <c r="C918" s="1">
        <v>3663</v>
      </c>
      <c r="D918" s="2">
        <v>42604</v>
      </c>
      <c r="E918" s="1" t="s">
        <v>18</v>
      </c>
      <c r="F918" t="str">
        <f>HYPERLINK("http://www.sec.gov/Archives/edgar/data/1511737/0001511737-16-000040-index.html")</f>
        <v>http://www.sec.gov/Archives/edgar/data/1511737/0001511737-16-000040-index.html</v>
      </c>
    </row>
    <row r="919" spans="1:6" x14ac:dyDescent="0.2">
      <c r="A919" t="s">
        <v>878</v>
      </c>
      <c r="B919" s="1">
        <v>1520007</v>
      </c>
      <c r="C919" s="1">
        <v>5070</v>
      </c>
      <c r="D919" s="2">
        <v>42604</v>
      </c>
      <c r="E919" s="1" t="s">
        <v>18</v>
      </c>
      <c r="F919" t="str">
        <f>HYPERLINK("http://www.sec.gov/Archives/edgar/data/1520007/0001062993-16-011257-index.html")</f>
        <v>http://www.sec.gov/Archives/edgar/data/1520007/0001062993-16-011257-index.html</v>
      </c>
    </row>
    <row r="920" spans="1:6" x14ac:dyDescent="0.2">
      <c r="A920" t="s">
        <v>879</v>
      </c>
      <c r="B920" s="1">
        <v>736822</v>
      </c>
      <c r="C920" s="1">
        <v>2835</v>
      </c>
      <c r="D920" s="2">
        <v>42604</v>
      </c>
      <c r="E920" s="1" t="s">
        <v>18</v>
      </c>
      <c r="F920" t="str">
        <f>HYPERLINK("http://www.sec.gov/Archives/edgar/data/736822/0001437749-16-037939-index.html")</f>
        <v>http://www.sec.gov/Archives/edgar/data/736822/0001437749-16-037939-index.html</v>
      </c>
    </row>
    <row r="921" spans="1:6" x14ac:dyDescent="0.2">
      <c r="A921" t="s">
        <v>880</v>
      </c>
      <c r="B921" s="1">
        <v>1039065</v>
      </c>
      <c r="C921" s="1">
        <v>3674</v>
      </c>
      <c r="D921" s="2">
        <v>42601</v>
      </c>
      <c r="E921" s="1" t="s">
        <v>18</v>
      </c>
      <c r="F921" t="str">
        <f>HYPERLINK("http://www.sec.gov/Archives/edgar/data/1039065/0001047469-16-015059-index.html")</f>
        <v>http://www.sec.gov/Archives/edgar/data/1039065/0001047469-16-015059-index.html</v>
      </c>
    </row>
    <row r="922" spans="1:6" x14ac:dyDescent="0.2">
      <c r="A922" t="s">
        <v>881</v>
      </c>
      <c r="B922" s="1">
        <v>1100412</v>
      </c>
      <c r="C922" s="1">
        <v>2834</v>
      </c>
      <c r="D922" s="2">
        <v>42601</v>
      </c>
      <c r="E922" s="1" t="s">
        <v>18</v>
      </c>
      <c r="F922" t="str">
        <f>HYPERLINK("http://www.sec.gov/Archives/edgar/data/1100412/0001100412-16-000048-index.html")</f>
        <v>http://www.sec.gov/Archives/edgar/data/1100412/0001100412-16-000048-index.html</v>
      </c>
    </row>
    <row r="923" spans="1:6" x14ac:dyDescent="0.2">
      <c r="A923" t="s">
        <v>882</v>
      </c>
      <c r="B923" s="1">
        <v>1116132</v>
      </c>
      <c r="C923" s="1">
        <v>3100</v>
      </c>
      <c r="D923" s="2">
        <v>42601</v>
      </c>
      <c r="E923" s="1" t="s">
        <v>18</v>
      </c>
      <c r="F923" t="str">
        <f>HYPERLINK("http://www.sec.gov/Archives/edgar/data/1116132/0001116132-16-000026-index.html")</f>
        <v>http://www.sec.gov/Archives/edgar/data/1116132/0001116132-16-000026-index.html</v>
      </c>
    </row>
    <row r="924" spans="1:6" x14ac:dyDescent="0.2">
      <c r="A924" t="s">
        <v>883</v>
      </c>
      <c r="B924" s="1">
        <v>1117297</v>
      </c>
      <c r="C924" s="1">
        <v>7389</v>
      </c>
      <c r="D924" s="2">
        <v>42601</v>
      </c>
      <c r="E924" s="1" t="s">
        <v>18</v>
      </c>
      <c r="F924" t="str">
        <f>HYPERLINK("http://www.sec.gov/Archives/edgar/data/1117297/0001564590-16-024561-index.html")</f>
        <v>http://www.sec.gov/Archives/edgar/data/1117297/0001564590-16-024561-index.html</v>
      </c>
    </row>
    <row r="925" spans="1:6" x14ac:dyDescent="0.2">
      <c r="A925" t="s">
        <v>884</v>
      </c>
      <c r="B925" s="1">
        <v>1297223</v>
      </c>
      <c r="C925" s="1">
        <v>1000</v>
      </c>
      <c r="D925" s="2">
        <v>42601</v>
      </c>
      <c r="E925" s="1" t="s">
        <v>18</v>
      </c>
      <c r="F925" t="str">
        <f>HYPERLINK("http://www.sec.gov/Archives/edgar/data/1297223/0001062993-16-011231-index.html")</f>
        <v>http://www.sec.gov/Archives/edgar/data/1297223/0001062993-16-011231-index.html</v>
      </c>
    </row>
    <row r="926" spans="1:6" x14ac:dyDescent="0.2">
      <c r="A926" t="s">
        <v>885</v>
      </c>
      <c r="B926" s="1">
        <v>1334325</v>
      </c>
      <c r="C926" s="1">
        <v>3812</v>
      </c>
      <c r="D926" s="2">
        <v>42601</v>
      </c>
      <c r="E926" s="1" t="s">
        <v>18</v>
      </c>
      <c r="F926" t="str">
        <f>HYPERLINK("http://www.sec.gov/Archives/edgar/data/1334325/0001493152-16-012682-index.html")</f>
        <v>http://www.sec.gov/Archives/edgar/data/1334325/0001493152-16-012682-index.html</v>
      </c>
    </row>
    <row r="927" spans="1:6" x14ac:dyDescent="0.2">
      <c r="A927" t="s">
        <v>886</v>
      </c>
      <c r="B927" s="1">
        <v>1383094</v>
      </c>
      <c r="C927" s="1">
        <v>6189</v>
      </c>
      <c r="D927" s="2">
        <v>42601</v>
      </c>
      <c r="E927" s="1" t="s">
        <v>42</v>
      </c>
      <c r="F927" t="str">
        <f>HYPERLINK("http://www.sec.gov/Archives/edgar/data/1383094/0001193125-16-686288-index.html")</f>
        <v>http://www.sec.gov/Archives/edgar/data/1383094/0001193125-16-686288-index.html</v>
      </c>
    </row>
    <row r="928" spans="1:6" x14ac:dyDescent="0.2">
      <c r="A928" t="s">
        <v>886</v>
      </c>
      <c r="B928" s="1">
        <v>1383094</v>
      </c>
      <c r="C928" s="1">
        <v>6189</v>
      </c>
      <c r="D928" s="2">
        <v>42601</v>
      </c>
      <c r="E928" s="1" t="s">
        <v>42</v>
      </c>
      <c r="F928" t="str">
        <f>HYPERLINK("http://www.sec.gov/Archives/edgar/data/1383094/0001193125-16-686295-index.html")</f>
        <v>http://www.sec.gov/Archives/edgar/data/1383094/0001193125-16-686295-index.html</v>
      </c>
    </row>
    <row r="929" spans="1:6" x14ac:dyDescent="0.2">
      <c r="A929" t="s">
        <v>886</v>
      </c>
      <c r="B929" s="1">
        <v>1383094</v>
      </c>
      <c r="C929" s="1">
        <v>6189</v>
      </c>
      <c r="D929" s="2">
        <v>42601</v>
      </c>
      <c r="E929" s="1" t="s">
        <v>42</v>
      </c>
      <c r="F929" t="str">
        <f>HYPERLINK("http://www.sec.gov/Archives/edgar/data/1383094/0001193125-16-686296-index.html")</f>
        <v>http://www.sec.gov/Archives/edgar/data/1383094/0001193125-16-686296-index.html</v>
      </c>
    </row>
    <row r="930" spans="1:6" x14ac:dyDescent="0.2">
      <c r="A930" t="s">
        <v>886</v>
      </c>
      <c r="B930" s="1">
        <v>1383094</v>
      </c>
      <c r="C930" s="1">
        <v>6189</v>
      </c>
      <c r="D930" s="2">
        <v>42601</v>
      </c>
      <c r="E930" s="1" t="s">
        <v>42</v>
      </c>
      <c r="F930" t="str">
        <f>HYPERLINK("http://www.sec.gov/Archives/edgar/data/1383094/0001193125-16-686301-index.html")</f>
        <v>http://www.sec.gov/Archives/edgar/data/1383094/0001193125-16-686301-index.html</v>
      </c>
    </row>
    <row r="931" spans="1:6" x14ac:dyDescent="0.2">
      <c r="A931" t="s">
        <v>886</v>
      </c>
      <c r="B931" s="1">
        <v>1383094</v>
      </c>
      <c r="C931" s="1">
        <v>6189</v>
      </c>
      <c r="D931" s="2">
        <v>42601</v>
      </c>
      <c r="E931" s="1" t="s">
        <v>42</v>
      </c>
      <c r="F931" t="str">
        <f>HYPERLINK("http://www.sec.gov/Archives/edgar/data/1383094/0001193125-16-686316-index.html")</f>
        <v>http://www.sec.gov/Archives/edgar/data/1383094/0001193125-16-686316-index.html</v>
      </c>
    </row>
    <row r="932" spans="1:6" x14ac:dyDescent="0.2">
      <c r="A932" t="s">
        <v>886</v>
      </c>
      <c r="B932" s="1">
        <v>1383094</v>
      </c>
      <c r="C932" s="1">
        <v>6189</v>
      </c>
      <c r="D932" s="2">
        <v>42601</v>
      </c>
      <c r="E932" s="1" t="s">
        <v>42</v>
      </c>
      <c r="F932" t="str">
        <f>HYPERLINK("http://www.sec.gov/Archives/edgar/data/1383094/0001193125-16-686317-index.html")</f>
        <v>http://www.sec.gov/Archives/edgar/data/1383094/0001193125-16-686317-index.html</v>
      </c>
    </row>
    <row r="933" spans="1:6" x14ac:dyDescent="0.2">
      <c r="A933" t="s">
        <v>886</v>
      </c>
      <c r="B933" s="1">
        <v>1383094</v>
      </c>
      <c r="C933" s="1">
        <v>6189</v>
      </c>
      <c r="D933" s="2">
        <v>42601</v>
      </c>
      <c r="E933" s="1" t="s">
        <v>42</v>
      </c>
      <c r="F933" t="str">
        <f>HYPERLINK("http://www.sec.gov/Archives/edgar/data/1383094/0001193125-16-686319-index.html")</f>
        <v>http://www.sec.gov/Archives/edgar/data/1383094/0001193125-16-686319-index.html</v>
      </c>
    </row>
    <row r="934" spans="1:6" x14ac:dyDescent="0.2">
      <c r="A934" t="s">
        <v>886</v>
      </c>
      <c r="B934" s="1">
        <v>1383094</v>
      </c>
      <c r="C934" s="1">
        <v>6189</v>
      </c>
      <c r="D934" s="2">
        <v>42601</v>
      </c>
      <c r="E934" s="1" t="s">
        <v>42</v>
      </c>
      <c r="F934" t="str">
        <f>HYPERLINK("http://www.sec.gov/Archives/edgar/data/1383094/0001193125-16-686335-index.html")</f>
        <v>http://www.sec.gov/Archives/edgar/data/1383094/0001193125-16-686335-index.html</v>
      </c>
    </row>
    <row r="935" spans="1:6" x14ac:dyDescent="0.2">
      <c r="A935" t="s">
        <v>886</v>
      </c>
      <c r="B935" s="1">
        <v>1383094</v>
      </c>
      <c r="C935" s="1">
        <v>6189</v>
      </c>
      <c r="D935" s="2">
        <v>42601</v>
      </c>
      <c r="E935" s="1" t="s">
        <v>42</v>
      </c>
      <c r="F935" t="str">
        <f>HYPERLINK("http://www.sec.gov/Archives/edgar/data/1383094/0001193125-16-686336-index.html")</f>
        <v>http://www.sec.gov/Archives/edgar/data/1383094/0001193125-16-686336-index.html</v>
      </c>
    </row>
    <row r="936" spans="1:6" x14ac:dyDescent="0.2">
      <c r="A936" t="s">
        <v>886</v>
      </c>
      <c r="B936" s="1">
        <v>1383094</v>
      </c>
      <c r="C936" s="1">
        <v>6189</v>
      </c>
      <c r="D936" s="2">
        <v>42601</v>
      </c>
      <c r="E936" s="1" t="s">
        <v>42</v>
      </c>
      <c r="F936" t="str">
        <f>HYPERLINK("http://www.sec.gov/Archives/edgar/data/1383094/0001193125-16-686338-index.html")</f>
        <v>http://www.sec.gov/Archives/edgar/data/1383094/0001193125-16-686338-index.html</v>
      </c>
    </row>
    <row r="937" spans="1:6" x14ac:dyDescent="0.2">
      <c r="A937" t="s">
        <v>886</v>
      </c>
      <c r="B937" s="1">
        <v>1383094</v>
      </c>
      <c r="C937" s="1">
        <v>6189</v>
      </c>
      <c r="D937" s="2">
        <v>42601</v>
      </c>
      <c r="E937" s="1" t="s">
        <v>42</v>
      </c>
      <c r="F937" t="str">
        <f>HYPERLINK("http://www.sec.gov/Archives/edgar/data/1383094/0001193125-16-686355-index.html")</f>
        <v>http://www.sec.gov/Archives/edgar/data/1383094/0001193125-16-686355-index.html</v>
      </c>
    </row>
    <row r="938" spans="1:6" x14ac:dyDescent="0.2">
      <c r="A938" t="s">
        <v>886</v>
      </c>
      <c r="B938" s="1">
        <v>1383094</v>
      </c>
      <c r="C938" s="1">
        <v>6189</v>
      </c>
      <c r="D938" s="2">
        <v>42601</v>
      </c>
      <c r="E938" s="1" t="s">
        <v>42</v>
      </c>
      <c r="F938" t="str">
        <f>HYPERLINK("http://www.sec.gov/Archives/edgar/data/1383094/0001193125-16-686360-index.html")</f>
        <v>http://www.sec.gov/Archives/edgar/data/1383094/0001193125-16-686360-index.html</v>
      </c>
    </row>
    <row r="939" spans="1:6" x14ac:dyDescent="0.2">
      <c r="A939" t="s">
        <v>886</v>
      </c>
      <c r="B939" s="1">
        <v>1383094</v>
      </c>
      <c r="C939" s="1">
        <v>6189</v>
      </c>
      <c r="D939" s="2">
        <v>42601</v>
      </c>
      <c r="E939" s="1" t="s">
        <v>42</v>
      </c>
      <c r="F939" t="str">
        <f>HYPERLINK("http://www.sec.gov/Archives/edgar/data/1383094/0001193125-16-686367-index.html")</f>
        <v>http://www.sec.gov/Archives/edgar/data/1383094/0001193125-16-686367-index.html</v>
      </c>
    </row>
    <row r="940" spans="1:6" x14ac:dyDescent="0.2">
      <c r="A940" t="s">
        <v>886</v>
      </c>
      <c r="B940" s="1">
        <v>1383094</v>
      </c>
      <c r="C940" s="1">
        <v>6189</v>
      </c>
      <c r="D940" s="2">
        <v>42601</v>
      </c>
      <c r="E940" s="1" t="s">
        <v>42</v>
      </c>
      <c r="F940" t="str">
        <f>HYPERLINK("http://www.sec.gov/Archives/edgar/data/1383094/0001193125-16-686371-index.html")</f>
        <v>http://www.sec.gov/Archives/edgar/data/1383094/0001193125-16-686371-index.html</v>
      </c>
    </row>
    <row r="941" spans="1:6" x14ac:dyDescent="0.2">
      <c r="A941" t="s">
        <v>886</v>
      </c>
      <c r="B941" s="1">
        <v>1383094</v>
      </c>
      <c r="C941" s="1">
        <v>6189</v>
      </c>
      <c r="D941" s="2">
        <v>42601</v>
      </c>
      <c r="E941" s="1" t="s">
        <v>42</v>
      </c>
      <c r="F941" t="str">
        <f>HYPERLINK("http://www.sec.gov/Archives/edgar/data/1383094/0001193125-16-686389-index.html")</f>
        <v>http://www.sec.gov/Archives/edgar/data/1383094/0001193125-16-686389-index.html</v>
      </c>
    </row>
    <row r="942" spans="1:6" x14ac:dyDescent="0.2">
      <c r="A942" t="s">
        <v>886</v>
      </c>
      <c r="B942" s="1">
        <v>1383094</v>
      </c>
      <c r="C942" s="1">
        <v>6189</v>
      </c>
      <c r="D942" s="2">
        <v>42601</v>
      </c>
      <c r="E942" s="1" t="s">
        <v>42</v>
      </c>
      <c r="F942" t="str">
        <f>HYPERLINK("http://www.sec.gov/Archives/edgar/data/1383094/0001193125-16-686390-index.html")</f>
        <v>http://www.sec.gov/Archives/edgar/data/1383094/0001193125-16-686390-index.html</v>
      </c>
    </row>
    <row r="943" spans="1:6" x14ac:dyDescent="0.2">
      <c r="A943" t="s">
        <v>886</v>
      </c>
      <c r="B943" s="1">
        <v>1383094</v>
      </c>
      <c r="C943" s="1">
        <v>6189</v>
      </c>
      <c r="D943" s="2">
        <v>42601</v>
      </c>
      <c r="E943" s="1" t="s">
        <v>42</v>
      </c>
      <c r="F943" t="str">
        <f>HYPERLINK("http://www.sec.gov/Archives/edgar/data/1383094/0001193125-16-686400-index.html")</f>
        <v>http://www.sec.gov/Archives/edgar/data/1383094/0001193125-16-686400-index.html</v>
      </c>
    </row>
    <row r="944" spans="1:6" x14ac:dyDescent="0.2">
      <c r="A944" t="s">
        <v>886</v>
      </c>
      <c r="B944" s="1">
        <v>1383094</v>
      </c>
      <c r="C944" s="1">
        <v>6189</v>
      </c>
      <c r="D944" s="2">
        <v>42601</v>
      </c>
      <c r="E944" s="1" t="s">
        <v>42</v>
      </c>
      <c r="F944" t="str">
        <f>HYPERLINK("http://www.sec.gov/Archives/edgar/data/1383094/0001193125-16-686403-index.html")</f>
        <v>http://www.sec.gov/Archives/edgar/data/1383094/0001193125-16-686403-index.html</v>
      </c>
    </row>
    <row r="945" spans="1:6" x14ac:dyDescent="0.2">
      <c r="A945" t="s">
        <v>886</v>
      </c>
      <c r="B945" s="1">
        <v>1383094</v>
      </c>
      <c r="C945" s="1">
        <v>6189</v>
      </c>
      <c r="D945" s="2">
        <v>42601</v>
      </c>
      <c r="E945" s="1" t="s">
        <v>42</v>
      </c>
      <c r="F945" t="str">
        <f>HYPERLINK("http://www.sec.gov/Archives/edgar/data/1383094/0001193125-16-686404-index.html")</f>
        <v>http://www.sec.gov/Archives/edgar/data/1383094/0001193125-16-686404-index.html</v>
      </c>
    </row>
    <row r="946" spans="1:6" x14ac:dyDescent="0.2">
      <c r="A946" t="s">
        <v>886</v>
      </c>
      <c r="B946" s="1">
        <v>1383094</v>
      </c>
      <c r="C946" s="1">
        <v>6189</v>
      </c>
      <c r="D946" s="2">
        <v>42601</v>
      </c>
      <c r="E946" s="1" t="s">
        <v>42</v>
      </c>
      <c r="F946" t="str">
        <f>HYPERLINK("http://www.sec.gov/Archives/edgar/data/1383094/0001193125-16-686412-index.html")</f>
        <v>http://www.sec.gov/Archives/edgar/data/1383094/0001193125-16-686412-index.html</v>
      </c>
    </row>
    <row r="947" spans="1:6" x14ac:dyDescent="0.2">
      <c r="A947" t="s">
        <v>886</v>
      </c>
      <c r="B947" s="1">
        <v>1383094</v>
      </c>
      <c r="C947" s="1">
        <v>6189</v>
      </c>
      <c r="D947" s="2">
        <v>42601</v>
      </c>
      <c r="E947" s="1" t="s">
        <v>42</v>
      </c>
      <c r="F947" t="str">
        <f>HYPERLINK("http://www.sec.gov/Archives/edgar/data/1383094/0001193125-16-686413-index.html")</f>
        <v>http://www.sec.gov/Archives/edgar/data/1383094/0001193125-16-686413-index.html</v>
      </c>
    </row>
    <row r="948" spans="1:6" x14ac:dyDescent="0.2">
      <c r="A948" t="s">
        <v>886</v>
      </c>
      <c r="B948" s="1">
        <v>1383094</v>
      </c>
      <c r="C948" s="1">
        <v>6189</v>
      </c>
      <c r="D948" s="2">
        <v>42601</v>
      </c>
      <c r="E948" s="1" t="s">
        <v>42</v>
      </c>
      <c r="F948" t="str">
        <f>HYPERLINK("http://www.sec.gov/Archives/edgar/data/1383094/0001193125-16-686416-index.html")</f>
        <v>http://www.sec.gov/Archives/edgar/data/1383094/0001193125-16-686416-index.html</v>
      </c>
    </row>
    <row r="949" spans="1:6" x14ac:dyDescent="0.2">
      <c r="A949" t="s">
        <v>886</v>
      </c>
      <c r="B949" s="1">
        <v>1383094</v>
      </c>
      <c r="C949" s="1">
        <v>6189</v>
      </c>
      <c r="D949" s="2">
        <v>42601</v>
      </c>
      <c r="E949" s="1" t="s">
        <v>42</v>
      </c>
      <c r="F949" t="str">
        <f>HYPERLINK("http://www.sec.gov/Archives/edgar/data/1383094/0001193125-16-686435-index.html")</f>
        <v>http://www.sec.gov/Archives/edgar/data/1383094/0001193125-16-686435-index.html</v>
      </c>
    </row>
    <row r="950" spans="1:6" x14ac:dyDescent="0.2">
      <c r="A950" t="s">
        <v>887</v>
      </c>
      <c r="B950" s="1">
        <v>1414628</v>
      </c>
      <c r="C950" s="1">
        <v>7389</v>
      </c>
      <c r="D950" s="2">
        <v>42601</v>
      </c>
      <c r="E950" s="1" t="s">
        <v>18</v>
      </c>
      <c r="F950" t="str">
        <f>HYPERLINK("http://www.sec.gov/Archives/edgar/data/1414628/0001414628-16-000045-index.html")</f>
        <v>http://www.sec.gov/Archives/edgar/data/1414628/0001414628-16-000045-index.html</v>
      </c>
    </row>
    <row r="951" spans="1:6" x14ac:dyDescent="0.2">
      <c r="A951" t="s">
        <v>888</v>
      </c>
      <c r="B951" s="1">
        <v>1538184</v>
      </c>
      <c r="C951" s="1">
        <v>6189</v>
      </c>
      <c r="D951" s="2">
        <v>42601</v>
      </c>
      <c r="E951" s="1" t="s">
        <v>42</v>
      </c>
      <c r="F951" t="str">
        <f>HYPERLINK("http://www.sec.gov/Archives/edgar/data/1538184/0001193125-16-686288-index.html")</f>
        <v>http://www.sec.gov/Archives/edgar/data/1538184/0001193125-16-686288-index.html</v>
      </c>
    </row>
    <row r="952" spans="1:6" x14ac:dyDescent="0.2">
      <c r="A952" t="s">
        <v>889</v>
      </c>
      <c r="B952" s="1">
        <v>1543913</v>
      </c>
      <c r="C952" s="1">
        <v>6189</v>
      </c>
      <c r="D952" s="2">
        <v>42601</v>
      </c>
      <c r="E952" s="1" t="s">
        <v>42</v>
      </c>
      <c r="F952" t="str">
        <f>HYPERLINK("http://www.sec.gov/Archives/edgar/data/1543913/0001193125-16-686301-index.html")</f>
        <v>http://www.sec.gov/Archives/edgar/data/1543913/0001193125-16-686301-index.html</v>
      </c>
    </row>
    <row r="953" spans="1:6" x14ac:dyDescent="0.2">
      <c r="A953" t="s">
        <v>890</v>
      </c>
      <c r="B953" s="1">
        <v>1548082</v>
      </c>
      <c r="C953" s="1">
        <v>1381</v>
      </c>
      <c r="D953" s="2">
        <v>42601</v>
      </c>
      <c r="E953" s="1" t="s">
        <v>18</v>
      </c>
      <c r="F953" t="str">
        <f>HYPERLINK("http://www.sec.gov/Archives/edgar/data/1548082/0001493152-16-012669-index.html")</f>
        <v>http://www.sec.gov/Archives/edgar/data/1548082/0001493152-16-012669-index.html</v>
      </c>
    </row>
    <row r="954" spans="1:6" x14ac:dyDescent="0.2">
      <c r="A954" t="s">
        <v>891</v>
      </c>
      <c r="B954" s="1">
        <v>1548600</v>
      </c>
      <c r="C954" s="1">
        <v>6189</v>
      </c>
      <c r="D954" s="2">
        <v>42601</v>
      </c>
      <c r="E954" s="1" t="s">
        <v>42</v>
      </c>
      <c r="F954" t="str">
        <f>HYPERLINK("http://www.sec.gov/Archives/edgar/data/1548600/0001193125-16-686316-index.html")</f>
        <v>http://www.sec.gov/Archives/edgar/data/1548600/0001193125-16-686316-index.html</v>
      </c>
    </row>
    <row r="955" spans="1:6" x14ac:dyDescent="0.2">
      <c r="A955" t="s">
        <v>892</v>
      </c>
      <c r="B955" s="1">
        <v>1552401</v>
      </c>
      <c r="C955" s="1">
        <v>6189</v>
      </c>
      <c r="D955" s="2">
        <v>42601</v>
      </c>
      <c r="E955" s="1" t="s">
        <v>42</v>
      </c>
      <c r="F955" t="str">
        <f>HYPERLINK("http://www.sec.gov/Archives/edgar/data/1552401/0001193125-16-686403-index.html")</f>
        <v>http://www.sec.gov/Archives/edgar/data/1552401/0001193125-16-686403-index.html</v>
      </c>
    </row>
    <row r="956" spans="1:6" x14ac:dyDescent="0.2">
      <c r="A956" t="s">
        <v>893</v>
      </c>
      <c r="B956" s="1">
        <v>1554933</v>
      </c>
      <c r="C956" s="1">
        <v>6189</v>
      </c>
      <c r="D956" s="2">
        <v>42601</v>
      </c>
      <c r="E956" s="1" t="s">
        <v>42</v>
      </c>
      <c r="F956" t="str">
        <f>HYPERLINK("http://www.sec.gov/Archives/edgar/data/1554933/0001193125-16-686295-index.html")</f>
        <v>http://www.sec.gov/Archives/edgar/data/1554933/0001193125-16-686295-index.html</v>
      </c>
    </row>
    <row r="957" spans="1:6" x14ac:dyDescent="0.2">
      <c r="A957" t="s">
        <v>894</v>
      </c>
      <c r="B957" s="1">
        <v>1558871</v>
      </c>
      <c r="C957" s="1">
        <v>6189</v>
      </c>
      <c r="D957" s="2">
        <v>42601</v>
      </c>
      <c r="E957" s="1" t="s">
        <v>42</v>
      </c>
      <c r="F957" t="str">
        <f>HYPERLINK("http://www.sec.gov/Archives/edgar/data/1558871/0001193125-16-686416-index.html")</f>
        <v>http://www.sec.gov/Archives/edgar/data/1558871/0001193125-16-686416-index.html</v>
      </c>
    </row>
    <row r="958" spans="1:6" x14ac:dyDescent="0.2">
      <c r="A958" t="s">
        <v>895</v>
      </c>
      <c r="B958" s="1">
        <v>1565821</v>
      </c>
      <c r="C958" s="1">
        <v>6189</v>
      </c>
      <c r="D958" s="2">
        <v>42601</v>
      </c>
      <c r="E958" s="1" t="s">
        <v>42</v>
      </c>
      <c r="F958" t="str">
        <f>HYPERLINK("http://www.sec.gov/Archives/edgar/data/1565821/0001193125-16-686319-index.html")</f>
        <v>http://www.sec.gov/Archives/edgar/data/1565821/0001193125-16-686319-index.html</v>
      </c>
    </row>
    <row r="959" spans="1:6" x14ac:dyDescent="0.2">
      <c r="A959" t="s">
        <v>896</v>
      </c>
      <c r="B959" s="1">
        <v>1570603</v>
      </c>
      <c r="C959" s="1">
        <v>6189</v>
      </c>
      <c r="D959" s="2">
        <v>42601</v>
      </c>
      <c r="E959" s="1" t="s">
        <v>42</v>
      </c>
      <c r="F959" t="str">
        <f>HYPERLINK("http://www.sec.gov/Archives/edgar/data/1570603/0001193125-16-686336-index.html")</f>
        <v>http://www.sec.gov/Archives/edgar/data/1570603/0001193125-16-686336-index.html</v>
      </c>
    </row>
    <row r="960" spans="1:6" x14ac:dyDescent="0.2">
      <c r="A960" t="s">
        <v>897</v>
      </c>
      <c r="B960" s="1">
        <v>1575073</v>
      </c>
      <c r="C960" s="1">
        <v>6189</v>
      </c>
      <c r="D960" s="2">
        <v>42601</v>
      </c>
      <c r="E960" s="1" t="s">
        <v>42</v>
      </c>
      <c r="F960" t="str">
        <f>HYPERLINK("http://www.sec.gov/Archives/edgar/data/1575073/0001193125-16-686367-index.html")</f>
        <v>http://www.sec.gov/Archives/edgar/data/1575073/0001193125-16-686367-index.html</v>
      </c>
    </row>
    <row r="961" spans="1:6" x14ac:dyDescent="0.2">
      <c r="A961" t="s">
        <v>897</v>
      </c>
      <c r="B961" s="1">
        <v>1575073</v>
      </c>
      <c r="C961" s="1">
        <v>6189</v>
      </c>
      <c r="D961" s="2">
        <v>42601</v>
      </c>
      <c r="E961" s="1" t="s">
        <v>42</v>
      </c>
      <c r="F961" t="str">
        <f>HYPERLINK("http://www.sec.gov/Archives/edgar/data/1575073/0001193125-16-686389-index.html")</f>
        <v>http://www.sec.gov/Archives/edgar/data/1575073/0001193125-16-686389-index.html</v>
      </c>
    </row>
    <row r="962" spans="1:6" x14ac:dyDescent="0.2">
      <c r="A962" t="s">
        <v>898</v>
      </c>
      <c r="B962" s="1">
        <v>1580579</v>
      </c>
      <c r="C962" s="1">
        <v>6189</v>
      </c>
      <c r="D962" s="2">
        <v>42601</v>
      </c>
      <c r="E962" s="1" t="s">
        <v>42</v>
      </c>
      <c r="F962" t="str">
        <f>HYPERLINK("http://www.sec.gov/Archives/edgar/data/1580579/0001193125-16-686317-index.html")</f>
        <v>http://www.sec.gov/Archives/edgar/data/1580579/0001193125-16-686317-index.html</v>
      </c>
    </row>
    <row r="963" spans="1:6" x14ac:dyDescent="0.2">
      <c r="A963" t="s">
        <v>899</v>
      </c>
      <c r="B963" s="1">
        <v>1589220</v>
      </c>
      <c r="C963" s="1">
        <v>6189</v>
      </c>
      <c r="D963" s="2">
        <v>42601</v>
      </c>
      <c r="E963" s="1" t="s">
        <v>42</v>
      </c>
      <c r="F963" t="str">
        <f>HYPERLINK("http://www.sec.gov/Archives/edgar/data/1589220/0001193125-16-686360-index.html")</f>
        <v>http://www.sec.gov/Archives/edgar/data/1589220/0001193125-16-686360-index.html</v>
      </c>
    </row>
    <row r="964" spans="1:6" x14ac:dyDescent="0.2">
      <c r="A964" t="s">
        <v>899</v>
      </c>
      <c r="B964" s="1">
        <v>1589220</v>
      </c>
      <c r="C964" s="1">
        <v>6189</v>
      </c>
      <c r="D964" s="2">
        <v>42601</v>
      </c>
      <c r="E964" s="1" t="s">
        <v>42</v>
      </c>
      <c r="F964" t="str">
        <f>HYPERLINK("http://www.sec.gov/Archives/edgar/data/1589220/0001193125-16-686390-index.html")</f>
        <v>http://www.sec.gov/Archives/edgar/data/1589220/0001193125-16-686390-index.html</v>
      </c>
    </row>
    <row r="965" spans="1:6" x14ac:dyDescent="0.2">
      <c r="A965" t="s">
        <v>900</v>
      </c>
      <c r="B965" s="1">
        <v>1595239</v>
      </c>
      <c r="C965" s="1">
        <v>6189</v>
      </c>
      <c r="D965" s="2">
        <v>42601</v>
      </c>
      <c r="E965" s="1" t="s">
        <v>42</v>
      </c>
      <c r="F965" t="str">
        <f>HYPERLINK("http://www.sec.gov/Archives/edgar/data/1595239/0001193125-16-686412-index.html")</f>
        <v>http://www.sec.gov/Archives/edgar/data/1595239/0001193125-16-686412-index.html</v>
      </c>
    </row>
    <row r="966" spans="1:6" x14ac:dyDescent="0.2">
      <c r="A966" t="s">
        <v>901</v>
      </c>
      <c r="B966" s="1">
        <v>1603779</v>
      </c>
      <c r="C966" s="1">
        <v>6189</v>
      </c>
      <c r="D966" s="2">
        <v>42601</v>
      </c>
      <c r="E966" s="1" t="s">
        <v>42</v>
      </c>
      <c r="F966" t="str">
        <f>HYPERLINK("http://www.sec.gov/Archives/edgar/data/1603779/0001193125-16-686296-index.html")</f>
        <v>http://www.sec.gov/Archives/edgar/data/1603779/0001193125-16-686296-index.html</v>
      </c>
    </row>
    <row r="967" spans="1:6" x14ac:dyDescent="0.2">
      <c r="A967" t="s">
        <v>902</v>
      </c>
      <c r="B967" s="1">
        <v>1609220</v>
      </c>
      <c r="C967" s="1">
        <v>6189</v>
      </c>
      <c r="D967" s="2">
        <v>42601</v>
      </c>
      <c r="E967" s="1" t="s">
        <v>42</v>
      </c>
      <c r="F967" t="str">
        <f>HYPERLINK("http://www.sec.gov/Archives/edgar/data/1609220/0001193125-16-686413-index.html")</f>
        <v>http://www.sec.gov/Archives/edgar/data/1609220/0001193125-16-686413-index.html</v>
      </c>
    </row>
    <row r="968" spans="1:6" x14ac:dyDescent="0.2">
      <c r="A968" t="s">
        <v>903</v>
      </c>
      <c r="B968" s="1">
        <v>1616997</v>
      </c>
      <c r="C968" s="1">
        <v>6189</v>
      </c>
      <c r="D968" s="2">
        <v>42601</v>
      </c>
      <c r="E968" s="1" t="s">
        <v>42</v>
      </c>
      <c r="F968" t="str">
        <f>HYPERLINK("http://www.sec.gov/Archives/edgar/data/1616997/0001193125-16-686371-index.html")</f>
        <v>http://www.sec.gov/Archives/edgar/data/1616997/0001193125-16-686371-index.html</v>
      </c>
    </row>
    <row r="969" spans="1:6" x14ac:dyDescent="0.2">
      <c r="A969" t="s">
        <v>904</v>
      </c>
      <c r="B969" s="1">
        <v>1622117</v>
      </c>
      <c r="C969" s="1">
        <v>6189</v>
      </c>
      <c r="D969" s="2">
        <v>42601</v>
      </c>
      <c r="E969" s="1" t="s">
        <v>42</v>
      </c>
      <c r="F969" t="str">
        <f>HYPERLINK("http://www.sec.gov/Archives/edgar/data/1622117/0001193125-16-686338-index.html")</f>
        <v>http://www.sec.gov/Archives/edgar/data/1622117/0001193125-16-686338-index.html</v>
      </c>
    </row>
    <row r="970" spans="1:6" x14ac:dyDescent="0.2">
      <c r="A970" t="s">
        <v>905</v>
      </c>
      <c r="B970" s="1">
        <v>1632092</v>
      </c>
      <c r="C970" s="1">
        <v>6189</v>
      </c>
      <c r="D970" s="2">
        <v>42601</v>
      </c>
      <c r="E970" s="1" t="s">
        <v>42</v>
      </c>
      <c r="F970" t="str">
        <f>HYPERLINK("http://www.sec.gov/Archives/edgar/data/1632092/0001193125-16-686435-index.html")</f>
        <v>http://www.sec.gov/Archives/edgar/data/1632092/0001193125-16-686435-index.html</v>
      </c>
    </row>
    <row r="971" spans="1:6" x14ac:dyDescent="0.2">
      <c r="A971" t="s">
        <v>906</v>
      </c>
      <c r="B971" s="1">
        <v>1636519</v>
      </c>
      <c r="C971" s="1">
        <v>7990</v>
      </c>
      <c r="D971" s="2">
        <v>42601</v>
      </c>
      <c r="E971" s="1" t="s">
        <v>18</v>
      </c>
      <c r="F971" t="str">
        <f>HYPERLINK("http://www.sec.gov/Archives/edgar/data/1636519/0001636519-16-000016-index.html")</f>
        <v>http://www.sec.gov/Archives/edgar/data/1636519/0001636519-16-000016-index.html</v>
      </c>
    </row>
    <row r="972" spans="1:6" x14ac:dyDescent="0.2">
      <c r="A972" t="s">
        <v>907</v>
      </c>
      <c r="B972" s="1">
        <v>1638606</v>
      </c>
      <c r="C972" s="1">
        <v>6189</v>
      </c>
      <c r="D972" s="2">
        <v>42601</v>
      </c>
      <c r="E972" s="1" t="s">
        <v>42</v>
      </c>
      <c r="F972" t="str">
        <f>HYPERLINK("http://www.sec.gov/Archives/edgar/data/1638606/0001193125-16-686335-index.html")</f>
        <v>http://www.sec.gov/Archives/edgar/data/1638606/0001193125-16-686335-index.html</v>
      </c>
    </row>
    <row r="973" spans="1:6" x14ac:dyDescent="0.2">
      <c r="A973" t="s">
        <v>908</v>
      </c>
      <c r="B973" s="1">
        <v>1643202</v>
      </c>
      <c r="C973" s="1">
        <v>6189</v>
      </c>
      <c r="D973" s="2">
        <v>42601</v>
      </c>
      <c r="E973" s="1" t="s">
        <v>42</v>
      </c>
      <c r="F973" t="str">
        <f>HYPERLINK("http://www.sec.gov/Archives/edgar/data/1643202/0001193125-16-686400-index.html")</f>
        <v>http://www.sec.gov/Archives/edgar/data/1643202/0001193125-16-686400-index.html</v>
      </c>
    </row>
    <row r="974" spans="1:6" x14ac:dyDescent="0.2">
      <c r="A974" t="s">
        <v>909</v>
      </c>
      <c r="B974" s="1">
        <v>1649011</v>
      </c>
      <c r="C974" s="1">
        <v>6189</v>
      </c>
      <c r="D974" s="2">
        <v>42601</v>
      </c>
      <c r="E974" s="1" t="s">
        <v>42</v>
      </c>
      <c r="F974" t="str">
        <f>HYPERLINK("http://www.sec.gov/Archives/edgar/data/1649011/0001193125-16-686404-index.html")</f>
        <v>http://www.sec.gov/Archives/edgar/data/1649011/0001193125-16-686404-index.html</v>
      </c>
    </row>
    <row r="975" spans="1:6" x14ac:dyDescent="0.2">
      <c r="A975" t="s">
        <v>910</v>
      </c>
      <c r="B975" s="1">
        <v>1654250</v>
      </c>
      <c r="C975" s="1">
        <v>6189</v>
      </c>
      <c r="D975" s="2">
        <v>42601</v>
      </c>
      <c r="E975" s="1" t="s">
        <v>42</v>
      </c>
      <c r="F975" t="str">
        <f>HYPERLINK("http://www.sec.gov/Archives/edgar/data/1654250/0001193125-16-686355-index.html")</f>
        <v>http://www.sec.gov/Archives/edgar/data/1654250/0001193125-16-686355-index.html</v>
      </c>
    </row>
    <row r="976" spans="1:6" x14ac:dyDescent="0.2">
      <c r="A976" t="s">
        <v>911</v>
      </c>
      <c r="B976" s="1">
        <v>878726</v>
      </c>
      <c r="C976" s="1">
        <v>5331</v>
      </c>
      <c r="D976" s="2">
        <v>42601</v>
      </c>
      <c r="E976" s="1" t="s">
        <v>18</v>
      </c>
      <c r="F976" t="str">
        <f>HYPERLINK("http://www.sec.gov/Archives/edgar/data/878726/0001564590-16-024535-index.html")</f>
        <v>http://www.sec.gov/Archives/edgar/data/878726/0001564590-16-024535-index.html</v>
      </c>
    </row>
    <row r="977" spans="1:6" x14ac:dyDescent="0.2">
      <c r="A977" t="s">
        <v>886</v>
      </c>
      <c r="B977" s="1">
        <v>1383094</v>
      </c>
      <c r="C977" s="1">
        <v>6189</v>
      </c>
      <c r="D977" s="2">
        <v>42601</v>
      </c>
      <c r="E977" s="1" t="s">
        <v>42</v>
      </c>
      <c r="F977" t="str">
        <f>HYPERLINK("http://www.sec.gov/Archives/edgar/data/1383094/0001193125-16-686436-index.html")</f>
        <v>http://www.sec.gov/Archives/edgar/data/1383094/0001193125-16-686436-index.html</v>
      </c>
    </row>
    <row r="978" spans="1:6" x14ac:dyDescent="0.2">
      <c r="A978" t="s">
        <v>912</v>
      </c>
      <c r="B978" s="1">
        <v>1531190</v>
      </c>
      <c r="C978" s="1">
        <v>6189</v>
      </c>
      <c r="D978" s="2">
        <v>42601</v>
      </c>
      <c r="E978" s="1" t="s">
        <v>42</v>
      </c>
      <c r="F978" t="str">
        <f>HYPERLINK("http://www.sec.gov/Archives/edgar/data/1531190/0001193125-16-686436-index.html")</f>
        <v>http://www.sec.gov/Archives/edgar/data/1531190/0001193125-16-686436-index.html</v>
      </c>
    </row>
    <row r="979" spans="1:6" x14ac:dyDescent="0.2">
      <c r="A979" t="s">
        <v>913</v>
      </c>
      <c r="B979" s="1">
        <v>1016178</v>
      </c>
      <c r="C979" s="1">
        <v>6035</v>
      </c>
      <c r="D979" s="2">
        <v>42600</v>
      </c>
      <c r="E979" s="1" t="s">
        <v>42</v>
      </c>
      <c r="F979" t="str">
        <f>HYPERLINK("http://www.sec.gov/Archives/edgar/data/1016178/0001016178-16-000061-index.html")</f>
        <v>http://www.sec.gov/Archives/edgar/data/1016178/0001016178-16-000061-index.html</v>
      </c>
    </row>
    <row r="980" spans="1:6" x14ac:dyDescent="0.2">
      <c r="A980" t="s">
        <v>914</v>
      </c>
      <c r="B980" s="1">
        <v>1024305</v>
      </c>
      <c r="C980" s="1">
        <v>2844</v>
      </c>
      <c r="D980" s="2">
        <v>42600</v>
      </c>
      <c r="E980" s="1" t="s">
        <v>18</v>
      </c>
      <c r="F980" t="str">
        <f>HYPERLINK("http://www.sec.gov/Archives/edgar/data/1024305/0001024305-16-000181-index.html")</f>
        <v>http://www.sec.gov/Archives/edgar/data/1024305/0001024305-16-000181-index.html</v>
      </c>
    </row>
    <row r="981" spans="1:6" x14ac:dyDescent="0.2">
      <c r="A981" t="s">
        <v>915</v>
      </c>
      <c r="B981" s="1">
        <v>1036960</v>
      </c>
      <c r="C981" s="1">
        <v>3674</v>
      </c>
      <c r="D981" s="2">
        <v>42600</v>
      </c>
      <c r="E981" s="1" t="s">
        <v>42</v>
      </c>
      <c r="F981" t="str">
        <f>HYPERLINK("http://www.sec.gov/Archives/edgar/data/1036960/0001193125-16-684270-index.html")</f>
        <v>http://www.sec.gov/Archives/edgar/data/1036960/0001193125-16-684270-index.html</v>
      </c>
    </row>
    <row r="982" spans="1:6" x14ac:dyDescent="0.2">
      <c r="A982" t="s">
        <v>916</v>
      </c>
      <c r="B982" s="1">
        <v>1043156</v>
      </c>
      <c r="C982" s="1">
        <v>5812</v>
      </c>
      <c r="D982" s="2">
        <v>42600</v>
      </c>
      <c r="E982" s="1" t="s">
        <v>18</v>
      </c>
      <c r="F982" t="str">
        <f>HYPERLINK("http://www.sec.gov/Archives/edgar/data/1043156/0001437749-16-037755-index.html")</f>
        <v>http://www.sec.gov/Archives/edgar/data/1043156/0001437749-16-037755-index.html</v>
      </c>
    </row>
    <row r="983" spans="1:6" x14ac:dyDescent="0.2">
      <c r="A983" t="s">
        <v>916</v>
      </c>
      <c r="B983" s="1">
        <v>1043156</v>
      </c>
      <c r="C983" s="1">
        <v>5812</v>
      </c>
      <c r="D983" s="2">
        <v>42600</v>
      </c>
      <c r="E983" s="1" t="s">
        <v>18</v>
      </c>
      <c r="F983" t="str">
        <f>HYPERLINK("http://www.sec.gov/Archives/edgar/data/1043156/0001437749-16-037757-index.html")</f>
        <v>http://www.sec.gov/Archives/edgar/data/1043156/0001437749-16-037757-index.html</v>
      </c>
    </row>
    <row r="984" spans="1:6" x14ac:dyDescent="0.2">
      <c r="A984" t="s">
        <v>916</v>
      </c>
      <c r="B984" s="1">
        <v>1043156</v>
      </c>
      <c r="C984" s="1">
        <v>5812</v>
      </c>
      <c r="D984" s="2">
        <v>42600</v>
      </c>
      <c r="E984" s="1" t="s">
        <v>18</v>
      </c>
      <c r="F984" t="str">
        <f>HYPERLINK("http://www.sec.gov/Archives/edgar/data/1043156/0001437749-16-037761-index.html")</f>
        <v>http://www.sec.gov/Archives/edgar/data/1043156/0001437749-16-037761-index.html</v>
      </c>
    </row>
    <row r="985" spans="1:6" x14ac:dyDescent="0.2">
      <c r="A985" t="s">
        <v>916</v>
      </c>
      <c r="B985" s="1">
        <v>1043156</v>
      </c>
      <c r="C985" s="1">
        <v>5812</v>
      </c>
      <c r="D985" s="2">
        <v>42600</v>
      </c>
      <c r="E985" s="1" t="s">
        <v>18</v>
      </c>
      <c r="F985" t="str">
        <f>HYPERLINK("http://www.sec.gov/Archives/edgar/data/1043156/0001437749-16-037763-index.html")</f>
        <v>http://www.sec.gov/Archives/edgar/data/1043156/0001437749-16-037763-index.html</v>
      </c>
    </row>
    <row r="986" spans="1:6" x14ac:dyDescent="0.2">
      <c r="A986" t="s">
        <v>216</v>
      </c>
      <c r="B986" s="1">
        <v>1442101</v>
      </c>
      <c r="C986" s="1">
        <v>7389</v>
      </c>
      <c r="D986" s="2">
        <v>42600</v>
      </c>
      <c r="E986" s="1" t="s">
        <v>18</v>
      </c>
      <c r="F986" t="str">
        <f>HYPERLINK("http://www.sec.gov/Archives/edgar/data/1442101/0001661582-16-000018-index.html")</f>
        <v>http://www.sec.gov/Archives/edgar/data/1442101/0001661582-16-000018-index.html</v>
      </c>
    </row>
    <row r="987" spans="1:6" x14ac:dyDescent="0.2">
      <c r="A987" t="s">
        <v>917</v>
      </c>
      <c r="B987" s="1">
        <v>1469372</v>
      </c>
      <c r="C987" s="1">
        <v>4841</v>
      </c>
      <c r="D987" s="2">
        <v>42600</v>
      </c>
      <c r="E987" s="1" t="s">
        <v>18</v>
      </c>
      <c r="F987" t="str">
        <f>HYPERLINK("http://www.sec.gov/Archives/edgar/data/1469372/0001469372-16-000031-index.html")</f>
        <v>http://www.sec.gov/Archives/edgar/data/1469372/0001469372-16-000031-index.html</v>
      </c>
    </row>
    <row r="988" spans="1:6" x14ac:dyDescent="0.2">
      <c r="A988" t="s">
        <v>918</v>
      </c>
      <c r="B988" s="1">
        <v>1490054</v>
      </c>
      <c r="C988" s="1">
        <v>7371</v>
      </c>
      <c r="D988" s="2">
        <v>42600</v>
      </c>
      <c r="E988" s="1" t="s">
        <v>42</v>
      </c>
      <c r="F988" t="str">
        <f>HYPERLINK("http://www.sec.gov/Archives/edgar/data/1490054/0001445866-16-002546-index.html")</f>
        <v>http://www.sec.gov/Archives/edgar/data/1490054/0001445866-16-002546-index.html</v>
      </c>
    </row>
    <row r="989" spans="1:6" x14ac:dyDescent="0.2">
      <c r="A989" t="s">
        <v>919</v>
      </c>
      <c r="B989" s="1">
        <v>1511735</v>
      </c>
      <c r="C989" s="1">
        <v>5000</v>
      </c>
      <c r="D989" s="2">
        <v>42600</v>
      </c>
      <c r="E989" s="1" t="s">
        <v>18</v>
      </c>
      <c r="F989" t="str">
        <f>HYPERLINK("http://www.sec.gov/Archives/edgar/data/1511735/0001213900-16-016209-index.html")</f>
        <v>http://www.sec.gov/Archives/edgar/data/1511735/0001213900-16-016209-index.html</v>
      </c>
    </row>
    <row r="990" spans="1:6" x14ac:dyDescent="0.2">
      <c r="A990" t="s">
        <v>920</v>
      </c>
      <c r="B990" s="1">
        <v>17843</v>
      </c>
      <c r="C990" s="1">
        <v>3312</v>
      </c>
      <c r="D990" s="2">
        <v>42600</v>
      </c>
      <c r="E990" s="1" t="s">
        <v>18</v>
      </c>
      <c r="F990" t="str">
        <f>HYPERLINK("http://www.sec.gov/Archives/edgar/data/17843/0000017843-16-000094-index.html")</f>
        <v>http://www.sec.gov/Archives/edgar/data/17843/0000017843-16-000094-index.html</v>
      </c>
    </row>
    <row r="991" spans="1:6" x14ac:dyDescent="0.2">
      <c r="A991" t="s">
        <v>292</v>
      </c>
      <c r="B991" s="1">
        <v>203527</v>
      </c>
      <c r="C991" s="1">
        <v>3845</v>
      </c>
      <c r="D991" s="2">
        <v>42600</v>
      </c>
      <c r="E991" s="1" t="s">
        <v>42</v>
      </c>
      <c r="F991" t="str">
        <f>HYPERLINK("http://www.sec.gov/Archives/edgar/data/203527/0001628280-16-019147-index.html")</f>
        <v>http://www.sec.gov/Archives/edgar/data/203527/0001628280-16-019147-index.html</v>
      </c>
    </row>
    <row r="992" spans="1:6" x14ac:dyDescent="0.2">
      <c r="A992" t="s">
        <v>921</v>
      </c>
      <c r="B992" s="1">
        <v>42228</v>
      </c>
      <c r="C992" s="1">
        <v>2090</v>
      </c>
      <c r="D992" s="2">
        <v>42600</v>
      </c>
      <c r="E992" s="1" t="s">
        <v>42</v>
      </c>
      <c r="F992" t="str">
        <f>HYPERLINK("http://www.sec.gov/Archives/edgar/data/42228/0001144204-16-120097-index.html")</f>
        <v>http://www.sec.gov/Archives/edgar/data/42228/0001144204-16-120097-index.html</v>
      </c>
    </row>
    <row r="993" spans="1:6" x14ac:dyDescent="0.2">
      <c r="A993" t="s">
        <v>922</v>
      </c>
      <c r="B993" s="1">
        <v>722830</v>
      </c>
      <c r="C993" s="1">
        <v>2835</v>
      </c>
      <c r="D993" s="2">
        <v>42600</v>
      </c>
      <c r="E993" s="1" t="s">
        <v>18</v>
      </c>
      <c r="F993" t="str">
        <f>HYPERLINK("http://www.sec.gov/Archives/edgar/data/722830/0001558370-16-008055-index.html")</f>
        <v>http://www.sec.gov/Archives/edgar/data/722830/0001558370-16-008055-index.html</v>
      </c>
    </row>
    <row r="994" spans="1:6" x14ac:dyDescent="0.2">
      <c r="A994" t="s">
        <v>923</v>
      </c>
      <c r="B994" s="1">
        <v>1408710</v>
      </c>
      <c r="C994" s="1">
        <v>3661</v>
      </c>
      <c r="D994" s="2">
        <v>42599</v>
      </c>
      <c r="E994" s="1" t="s">
        <v>18</v>
      </c>
      <c r="F994" t="str">
        <f>HYPERLINK("http://www.sec.gov/Archives/edgar/data/1408710/0001193125-16-684108-index.html")</f>
        <v>http://www.sec.gov/Archives/edgar/data/1408710/0001193125-16-684108-index.html</v>
      </c>
    </row>
    <row r="995" spans="1:6" x14ac:dyDescent="0.2">
      <c r="A995" t="s">
        <v>924</v>
      </c>
      <c r="B995" s="1">
        <v>1419612</v>
      </c>
      <c r="C995" s="1">
        <v>3674</v>
      </c>
      <c r="D995" s="2">
        <v>42599</v>
      </c>
      <c r="E995" s="1" t="s">
        <v>18</v>
      </c>
      <c r="F995" t="str">
        <f>HYPERLINK("http://www.sec.gov/Archives/edgar/data/1419612/0001178913-16-006268-index.html")</f>
        <v>http://www.sec.gov/Archives/edgar/data/1419612/0001178913-16-006268-index.html</v>
      </c>
    </row>
    <row r="996" spans="1:6" x14ac:dyDescent="0.2">
      <c r="A996" t="s">
        <v>216</v>
      </c>
      <c r="B996" s="1">
        <v>1442101</v>
      </c>
      <c r="C996" s="1">
        <v>7389</v>
      </c>
      <c r="D996" s="2">
        <v>42599</v>
      </c>
      <c r="E996" s="1" t="s">
        <v>42</v>
      </c>
      <c r="F996" t="str">
        <f>HYPERLINK("http://www.sec.gov/Archives/edgar/data/1442101/0001661582-16-000015-index.html")</f>
        <v>http://www.sec.gov/Archives/edgar/data/1442101/0001661582-16-000015-index.html</v>
      </c>
    </row>
    <row r="997" spans="1:6" x14ac:dyDescent="0.2">
      <c r="A997" t="s">
        <v>925</v>
      </c>
      <c r="B997" s="1">
        <v>1512922</v>
      </c>
      <c r="C997" s="1">
        <v>7372</v>
      </c>
      <c r="D997" s="2">
        <v>42599</v>
      </c>
      <c r="E997" s="1" t="s">
        <v>18</v>
      </c>
      <c r="F997" t="str">
        <f>HYPERLINK("http://www.sec.gov/Archives/edgar/data/1512922/0001477932-16-012044-index.html")</f>
        <v>http://www.sec.gov/Archives/edgar/data/1512922/0001477932-16-012044-index.html</v>
      </c>
    </row>
    <row r="998" spans="1:6" x14ac:dyDescent="0.2">
      <c r="A998" t="s">
        <v>926</v>
      </c>
      <c r="B998" s="1">
        <v>201779</v>
      </c>
      <c r="C998" s="1">
        <v>1090</v>
      </c>
      <c r="D998" s="2">
        <v>42599</v>
      </c>
      <c r="E998" s="1" t="s">
        <v>18</v>
      </c>
      <c r="F998" t="str">
        <f>HYPERLINK("http://www.sec.gov/Archives/edgar/data/201779/0001654954-16-001693-index.html")</f>
        <v>http://www.sec.gov/Archives/edgar/data/201779/0001654954-16-001693-index.html</v>
      </c>
    </row>
    <row r="999" spans="1:6" x14ac:dyDescent="0.2">
      <c r="A999" t="s">
        <v>927</v>
      </c>
      <c r="B999" s="1">
        <v>40888</v>
      </c>
      <c r="C999" s="1">
        <v>3760</v>
      </c>
      <c r="D999" s="2">
        <v>42599</v>
      </c>
      <c r="E999" s="1" t="s">
        <v>42</v>
      </c>
      <c r="F999" t="str">
        <f>HYPERLINK("http://www.sec.gov/Archives/edgar/data/40888/0000040888-16-000044-index.html")</f>
        <v>http://www.sec.gov/Archives/edgar/data/40888/0000040888-16-000044-index.html</v>
      </c>
    </row>
    <row r="1000" spans="1:6" x14ac:dyDescent="0.2">
      <c r="A1000" t="s">
        <v>928</v>
      </c>
      <c r="B1000" s="1">
        <v>707549</v>
      </c>
      <c r="C1000" s="1">
        <v>3559</v>
      </c>
      <c r="D1000" s="2">
        <v>42599</v>
      </c>
      <c r="E1000" s="1" t="s">
        <v>18</v>
      </c>
      <c r="F1000" t="str">
        <f>HYPERLINK("http://www.sec.gov/Archives/edgar/data/707549/0000707549-16-000050-index.html")</f>
        <v>http://www.sec.gov/Archives/edgar/data/707549/0000707549-16-000050-index.html</v>
      </c>
    </row>
    <row r="1001" spans="1:6" x14ac:dyDescent="0.2">
      <c r="A1001" t="s">
        <v>929</v>
      </c>
      <c r="B1001" s="1">
        <v>715812</v>
      </c>
      <c r="C1001" s="1">
        <v>3829</v>
      </c>
      <c r="D1001" s="2">
        <v>42599</v>
      </c>
      <c r="E1001" s="1" t="s">
        <v>42</v>
      </c>
      <c r="F1001" t="str">
        <f>HYPERLINK("http://www.sec.gov/Archives/edgar/data/715812/0000715812-16-000007-index.html")</f>
        <v>http://www.sec.gov/Archives/edgar/data/715812/0000715812-16-000007-index.html</v>
      </c>
    </row>
    <row r="1002" spans="1:6" x14ac:dyDescent="0.2">
      <c r="A1002" t="s">
        <v>930</v>
      </c>
      <c r="B1002" s="1">
        <v>922330</v>
      </c>
      <c r="C1002" s="1">
        <v>3510</v>
      </c>
      <c r="D1002" s="2">
        <v>42599</v>
      </c>
      <c r="E1002" s="1" t="s">
        <v>18</v>
      </c>
      <c r="F1002" t="str">
        <f>HYPERLINK("http://www.sec.gov/Archives/edgar/data/922330/0001493152-16-012638-index.html")</f>
        <v>http://www.sec.gov/Archives/edgar/data/922330/0001493152-16-012638-index.html</v>
      </c>
    </row>
    <row r="1003" spans="1:6" x14ac:dyDescent="0.2">
      <c r="A1003" t="s">
        <v>931</v>
      </c>
      <c r="B1003" s="1">
        <v>1049521</v>
      </c>
      <c r="C1003" s="1">
        <v>3670</v>
      </c>
      <c r="D1003" s="2">
        <v>42598</v>
      </c>
      <c r="E1003" s="1" t="s">
        <v>18</v>
      </c>
      <c r="F1003" t="str">
        <f>HYPERLINK("http://www.sec.gov/Archives/edgar/data/1049521/0001049521-16-000094-index.html")</f>
        <v>http://www.sec.gov/Archives/edgar/data/1049521/0001049521-16-000094-index.html</v>
      </c>
    </row>
    <row r="1004" spans="1:6" x14ac:dyDescent="0.2">
      <c r="A1004" t="s">
        <v>932</v>
      </c>
      <c r="B1004" s="1">
        <v>1341319</v>
      </c>
      <c r="C1004" s="1">
        <v>4813</v>
      </c>
      <c r="D1004" s="2">
        <v>42598</v>
      </c>
      <c r="E1004" s="1" t="s">
        <v>18</v>
      </c>
      <c r="F1004" t="str">
        <f>HYPERLINK("http://www.sec.gov/Archives/edgar/data/1341319/0001445866-16-002525-index.html")</f>
        <v>http://www.sec.gov/Archives/edgar/data/1341319/0001445866-16-002525-index.html</v>
      </c>
    </row>
    <row r="1005" spans="1:6" x14ac:dyDescent="0.2">
      <c r="A1005" t="s">
        <v>933</v>
      </c>
      <c r="B1005" s="1">
        <v>1431934</v>
      </c>
      <c r="C1005" s="1">
        <v>3841</v>
      </c>
      <c r="D1005" s="2">
        <v>42598</v>
      </c>
      <c r="E1005" s="1" t="s">
        <v>42</v>
      </c>
      <c r="F1005" t="str">
        <f>HYPERLINK("http://www.sec.gov/Archives/edgar/data/1431934/0001295345-16-000623-index.html")</f>
        <v>http://www.sec.gov/Archives/edgar/data/1431934/0001295345-16-000623-index.html</v>
      </c>
    </row>
    <row r="1006" spans="1:6" x14ac:dyDescent="0.2">
      <c r="A1006" t="s">
        <v>567</v>
      </c>
      <c r="B1006" s="1">
        <v>21076</v>
      </c>
      <c r="C1006" s="1">
        <v>2842</v>
      </c>
      <c r="D1006" s="2">
        <v>42598</v>
      </c>
      <c r="E1006" s="1" t="s">
        <v>18</v>
      </c>
      <c r="F1006" t="str">
        <f>HYPERLINK("http://www.sec.gov/Archives/edgar/data/21076/0001206774-16-006893-index.html")</f>
        <v>http://www.sec.gov/Archives/edgar/data/21076/0001206774-16-006893-index.html</v>
      </c>
    </row>
    <row r="1007" spans="1:6" x14ac:dyDescent="0.2">
      <c r="A1007" t="s">
        <v>934</v>
      </c>
      <c r="B1007" s="1">
        <v>1077638</v>
      </c>
      <c r="C1007" s="1">
        <v>3714</v>
      </c>
      <c r="D1007" s="2">
        <v>42597</v>
      </c>
      <c r="E1007" s="1" t="s">
        <v>18</v>
      </c>
      <c r="F1007" t="str">
        <f>HYPERLINK("http://www.sec.gov/Archives/edgar/data/1077638/0001185185-16-005212-index.html")</f>
        <v>http://www.sec.gov/Archives/edgar/data/1077638/0001185185-16-005212-index.html</v>
      </c>
    </row>
    <row r="1008" spans="1:6" x14ac:dyDescent="0.2">
      <c r="A1008" t="s">
        <v>935</v>
      </c>
      <c r="B1008" s="1">
        <v>1079297</v>
      </c>
      <c r="C1008" s="1">
        <v>6500</v>
      </c>
      <c r="D1008" s="2">
        <v>42597</v>
      </c>
      <c r="E1008" s="1" t="s">
        <v>18</v>
      </c>
      <c r="F1008" t="str">
        <f>HYPERLINK("http://www.sec.gov/Archives/edgar/data/1079297/0001213900-16-015982-index.html")</f>
        <v>http://www.sec.gov/Archives/edgar/data/1079297/0001213900-16-015982-index.html</v>
      </c>
    </row>
    <row r="1009" spans="1:6" x14ac:dyDescent="0.2">
      <c r="A1009" t="s">
        <v>936</v>
      </c>
      <c r="B1009" s="1">
        <v>1093248</v>
      </c>
      <c r="C1009" s="1">
        <v>3730</v>
      </c>
      <c r="D1009" s="2">
        <v>42597</v>
      </c>
      <c r="E1009" s="1" t="s">
        <v>18</v>
      </c>
      <c r="F1009" t="str">
        <f>HYPERLINK("http://www.sec.gov/Archives/edgar/data/1093248/0001493152-16-012468-index.html")</f>
        <v>http://www.sec.gov/Archives/edgar/data/1093248/0001493152-16-012468-index.html</v>
      </c>
    </row>
    <row r="1010" spans="1:6" x14ac:dyDescent="0.2">
      <c r="A1010" t="s">
        <v>937</v>
      </c>
      <c r="B1010" s="1">
        <v>1134982</v>
      </c>
      <c r="C1010" s="1">
        <v>6411</v>
      </c>
      <c r="D1010" s="2">
        <v>42597</v>
      </c>
      <c r="E1010" s="1" t="s">
        <v>18</v>
      </c>
      <c r="F1010" t="str">
        <f>HYPERLINK("http://www.sec.gov/Archives/edgar/data/1134982/0001213900-16-015950-index.html")</f>
        <v>http://www.sec.gov/Archives/edgar/data/1134982/0001213900-16-015950-index.html</v>
      </c>
    </row>
    <row r="1011" spans="1:6" x14ac:dyDescent="0.2">
      <c r="A1011" t="s">
        <v>938</v>
      </c>
      <c r="B1011" s="1">
        <v>1365784</v>
      </c>
      <c r="C1011" s="1">
        <v>4950</v>
      </c>
      <c r="D1011" s="2">
        <v>42597</v>
      </c>
      <c r="E1011" s="1" t="s">
        <v>18</v>
      </c>
      <c r="F1011" t="str">
        <f>HYPERLINK("http://www.sec.gov/Archives/edgar/data/1365784/0001393905-16-001012-index.html")</f>
        <v>http://www.sec.gov/Archives/edgar/data/1365784/0001393905-16-001012-index.html</v>
      </c>
    </row>
    <row r="1012" spans="1:6" x14ac:dyDescent="0.2">
      <c r="A1012" t="s">
        <v>939</v>
      </c>
      <c r="B1012" s="1">
        <v>1401835</v>
      </c>
      <c r="C1012" s="1">
        <v>1000</v>
      </c>
      <c r="D1012" s="2">
        <v>42597</v>
      </c>
      <c r="E1012" s="1" t="s">
        <v>18</v>
      </c>
      <c r="F1012" t="str">
        <f>HYPERLINK("http://www.sec.gov/Archives/edgar/data/1401835/0001056520-16-000284-index.html")</f>
        <v>http://www.sec.gov/Archives/edgar/data/1401835/0001056520-16-000284-index.html</v>
      </c>
    </row>
    <row r="1013" spans="1:6" x14ac:dyDescent="0.2">
      <c r="A1013" t="s">
        <v>940</v>
      </c>
      <c r="B1013" s="1">
        <v>1413547</v>
      </c>
      <c r="C1013" s="1">
        <v>7812</v>
      </c>
      <c r="D1013" s="2">
        <v>42597</v>
      </c>
      <c r="E1013" s="1" t="s">
        <v>18</v>
      </c>
      <c r="F1013" t="str">
        <f>HYPERLINK("http://www.sec.gov/Archives/edgar/data/1413547/0001477932-16-011851-index.html")</f>
        <v>http://www.sec.gov/Archives/edgar/data/1413547/0001477932-16-011851-index.html</v>
      </c>
    </row>
    <row r="1014" spans="1:6" x14ac:dyDescent="0.2">
      <c r="A1014" t="s">
        <v>941</v>
      </c>
      <c r="B1014" s="1">
        <v>1436126</v>
      </c>
      <c r="C1014" s="1">
        <v>8711</v>
      </c>
      <c r="D1014" s="2">
        <v>42597</v>
      </c>
      <c r="E1014" s="1" t="s">
        <v>18</v>
      </c>
      <c r="F1014" t="str">
        <f>HYPERLINK("http://www.sec.gov/Archives/edgar/data/1436126/0001436126-16-000062-index.html")</f>
        <v>http://www.sec.gov/Archives/edgar/data/1436126/0001436126-16-000062-index.html</v>
      </c>
    </row>
    <row r="1015" spans="1:6" x14ac:dyDescent="0.2">
      <c r="A1015" t="s">
        <v>918</v>
      </c>
      <c r="B1015" s="1">
        <v>1490054</v>
      </c>
      <c r="C1015" s="1">
        <v>7371</v>
      </c>
      <c r="D1015" s="2">
        <v>42597</v>
      </c>
      <c r="E1015" s="1" t="s">
        <v>18</v>
      </c>
      <c r="F1015" t="str">
        <f>HYPERLINK("http://www.sec.gov/Archives/edgar/data/1490054/0001445866-16-002519-index.html")</f>
        <v>http://www.sec.gov/Archives/edgar/data/1490054/0001445866-16-002519-index.html</v>
      </c>
    </row>
    <row r="1016" spans="1:6" x14ac:dyDescent="0.2">
      <c r="A1016" t="s">
        <v>942</v>
      </c>
      <c r="B1016" s="1">
        <v>1552358</v>
      </c>
      <c r="C1016" s="1">
        <v>7310</v>
      </c>
      <c r="D1016" s="2">
        <v>42597</v>
      </c>
      <c r="E1016" s="1" t="s">
        <v>18</v>
      </c>
      <c r="F1016" t="str">
        <f>HYPERLINK("http://www.sec.gov/Archives/edgar/data/1552358/0001494733-16-000167-index.html")</f>
        <v>http://www.sec.gov/Archives/edgar/data/1552358/0001494733-16-000167-index.html</v>
      </c>
    </row>
    <row r="1017" spans="1:6" x14ac:dyDescent="0.2">
      <c r="A1017" t="s">
        <v>943</v>
      </c>
      <c r="B1017" s="1">
        <v>1615942</v>
      </c>
      <c r="C1017" s="1">
        <v>3669</v>
      </c>
      <c r="D1017" s="2">
        <v>42597</v>
      </c>
      <c r="E1017" s="1" t="s">
        <v>18</v>
      </c>
      <c r="F1017" t="str">
        <f>HYPERLINK("http://www.sec.gov/Archives/edgar/data/1615942/0001493152-16-012455-index.html")</f>
        <v>http://www.sec.gov/Archives/edgar/data/1615942/0001493152-16-012455-index.html</v>
      </c>
    </row>
    <row r="1018" spans="1:6" x14ac:dyDescent="0.2">
      <c r="A1018" t="s">
        <v>944</v>
      </c>
      <c r="B1018" s="1">
        <v>68270</v>
      </c>
      <c r="C1018" s="1">
        <v>5812</v>
      </c>
      <c r="D1018" s="2">
        <v>42597</v>
      </c>
      <c r="E1018" s="1" t="s">
        <v>18</v>
      </c>
      <c r="F1018" t="str">
        <f>HYPERLINK("http://www.sec.gov/Archives/edgar/data/68270/0001437749-16-037460-index.html")</f>
        <v>http://www.sec.gov/Archives/edgar/data/68270/0001437749-16-037460-index.html</v>
      </c>
    </row>
    <row r="1019" spans="1:6" x14ac:dyDescent="0.2">
      <c r="A1019" t="s">
        <v>945</v>
      </c>
      <c r="B1019" s="1">
        <v>95052</v>
      </c>
      <c r="C1019" s="1">
        <v>2844</v>
      </c>
      <c r="D1019" s="2">
        <v>42597</v>
      </c>
      <c r="E1019" s="1" t="s">
        <v>18</v>
      </c>
      <c r="F1019" t="str">
        <f>HYPERLINK("http://www.sec.gov/Archives/edgar/data/95052/0001193125-16-681445-index.html")</f>
        <v>http://www.sec.gov/Archives/edgar/data/95052/0001193125-16-681445-index.html</v>
      </c>
    </row>
    <row r="1020" spans="1:6" x14ac:dyDescent="0.2">
      <c r="A1020" t="s">
        <v>913</v>
      </c>
      <c r="B1020" s="1">
        <v>1016178</v>
      </c>
      <c r="C1020" s="1">
        <v>6035</v>
      </c>
      <c r="D1020" s="2">
        <v>42594</v>
      </c>
      <c r="E1020" s="1" t="s">
        <v>18</v>
      </c>
      <c r="F1020" t="str">
        <f>HYPERLINK("http://www.sec.gov/Archives/edgar/data/1016178/0001016178-16-000059-index.html")</f>
        <v>http://www.sec.gov/Archives/edgar/data/1016178/0001016178-16-000059-index.html</v>
      </c>
    </row>
    <row r="1021" spans="1:6" x14ac:dyDescent="0.2">
      <c r="A1021" t="s">
        <v>946</v>
      </c>
      <c r="B1021" s="1">
        <v>1262976</v>
      </c>
      <c r="C1021" s="1">
        <v>2750</v>
      </c>
      <c r="D1021" s="2">
        <v>42594</v>
      </c>
      <c r="E1021" s="1" t="s">
        <v>18</v>
      </c>
      <c r="F1021" t="str">
        <f>HYPERLINK("http://www.sec.gov/Archives/edgar/data/1262976/0001262976-16-000073-index.html")</f>
        <v>http://www.sec.gov/Archives/edgar/data/1262976/0001262976-16-000073-index.html</v>
      </c>
    </row>
    <row r="1022" spans="1:6" x14ac:dyDescent="0.2">
      <c r="A1022" t="s">
        <v>947</v>
      </c>
      <c r="B1022" s="1">
        <v>1444144</v>
      </c>
      <c r="C1022" s="1">
        <v>8000</v>
      </c>
      <c r="D1022" s="2">
        <v>42594</v>
      </c>
      <c r="E1022" s="1" t="s">
        <v>18</v>
      </c>
      <c r="F1022" t="str">
        <f>HYPERLINK("http://www.sec.gov/Archives/edgar/data/1444144/0001493152-16-012298-index.html")</f>
        <v>http://www.sec.gov/Archives/edgar/data/1444144/0001493152-16-012298-index.html</v>
      </c>
    </row>
    <row r="1023" spans="1:6" x14ac:dyDescent="0.2">
      <c r="A1023" t="s">
        <v>948</v>
      </c>
      <c r="B1023" s="1">
        <v>1491525</v>
      </c>
      <c r="C1023" s="1">
        <v>5090</v>
      </c>
      <c r="D1023" s="2">
        <v>42594</v>
      </c>
      <c r="E1023" s="1" t="s">
        <v>18</v>
      </c>
      <c r="F1023" t="str">
        <f>HYPERLINK("http://www.sec.gov/Archives/edgar/data/1491525/0001065949-16-000474-index.html")</f>
        <v>http://www.sec.gov/Archives/edgar/data/1491525/0001065949-16-000474-index.html</v>
      </c>
    </row>
    <row r="1024" spans="1:6" x14ac:dyDescent="0.2">
      <c r="A1024" t="s">
        <v>949</v>
      </c>
      <c r="B1024" s="1">
        <v>1555972</v>
      </c>
      <c r="C1024" s="1">
        <v>3050</v>
      </c>
      <c r="D1024" s="2">
        <v>42594</v>
      </c>
      <c r="E1024" s="1" t="s">
        <v>18</v>
      </c>
      <c r="F1024" t="str">
        <f>HYPERLINK("http://www.sec.gov/Archives/edgar/data/1555972/0001144204-16-118840-index.html")</f>
        <v>http://www.sec.gov/Archives/edgar/data/1555972/0001144204-16-118840-index.html</v>
      </c>
    </row>
    <row r="1025" spans="1:6" x14ac:dyDescent="0.2">
      <c r="A1025" t="s">
        <v>950</v>
      </c>
      <c r="B1025" s="1">
        <v>1564708</v>
      </c>
      <c r="C1025" s="1">
        <v>2711</v>
      </c>
      <c r="D1025" s="2">
        <v>42594</v>
      </c>
      <c r="E1025" s="1" t="s">
        <v>18</v>
      </c>
      <c r="F1025" t="str">
        <f>HYPERLINK("http://www.sec.gov/Archives/edgar/data/1564708/0001193125-16-679975-index.html")</f>
        <v>http://www.sec.gov/Archives/edgar/data/1564708/0001193125-16-679975-index.html</v>
      </c>
    </row>
    <row r="1026" spans="1:6" x14ac:dyDescent="0.2">
      <c r="A1026" t="s">
        <v>951</v>
      </c>
      <c r="B1026" s="1">
        <v>1591698</v>
      </c>
      <c r="C1026" s="1">
        <v>7372</v>
      </c>
      <c r="D1026" s="2">
        <v>42594</v>
      </c>
      <c r="E1026" s="1" t="s">
        <v>18</v>
      </c>
      <c r="F1026" t="str">
        <f>HYPERLINK("http://www.sec.gov/Archives/edgar/data/1591698/0001104659-16-139345-index.html")</f>
        <v>http://www.sec.gov/Archives/edgar/data/1591698/0001104659-16-139345-index.html</v>
      </c>
    </row>
    <row r="1027" spans="1:6" x14ac:dyDescent="0.2">
      <c r="A1027" t="s">
        <v>952</v>
      </c>
      <c r="B1027" s="1">
        <v>721371</v>
      </c>
      <c r="C1027" s="1">
        <v>5122</v>
      </c>
      <c r="D1027" s="2">
        <v>42594</v>
      </c>
      <c r="E1027" s="1" t="s">
        <v>18</v>
      </c>
      <c r="F1027" t="str">
        <f>HYPERLINK("http://www.sec.gov/Archives/edgar/data/721371/0000721371-16-000277-index.html")</f>
        <v>http://www.sec.gov/Archives/edgar/data/721371/0000721371-16-000277-index.html</v>
      </c>
    </row>
    <row r="1028" spans="1:6" x14ac:dyDescent="0.2">
      <c r="A1028" t="s">
        <v>953</v>
      </c>
      <c r="B1028" s="1">
        <v>743316</v>
      </c>
      <c r="C1028" s="1">
        <v>3674</v>
      </c>
      <c r="D1028" s="2">
        <v>42594</v>
      </c>
      <c r="E1028" s="1" t="s">
        <v>18</v>
      </c>
      <c r="F1028" t="str">
        <f>HYPERLINK("http://www.sec.gov/Archives/edgar/data/743316/0000743316-16-000081-index.html")</f>
        <v>http://www.sec.gov/Archives/edgar/data/743316/0000743316-16-000081-index.html</v>
      </c>
    </row>
    <row r="1029" spans="1:6" x14ac:dyDescent="0.2">
      <c r="A1029" t="s">
        <v>954</v>
      </c>
      <c r="B1029" s="1">
        <v>821483</v>
      </c>
      <c r="C1029" s="1">
        <v>1311</v>
      </c>
      <c r="D1029" s="2">
        <v>42594</v>
      </c>
      <c r="E1029" s="1" t="s">
        <v>42</v>
      </c>
      <c r="F1029" t="str">
        <f>HYPERLINK("http://www.sec.gov/Archives/edgar/data/821483/0000821483-16-000068-index.html")</f>
        <v>http://www.sec.gov/Archives/edgar/data/821483/0000821483-16-000068-index.html</v>
      </c>
    </row>
    <row r="1030" spans="1:6" x14ac:dyDescent="0.2">
      <c r="A1030" t="s">
        <v>955</v>
      </c>
      <c r="B1030" s="1">
        <v>8858</v>
      </c>
      <c r="C1030" s="1">
        <v>5065</v>
      </c>
      <c r="D1030" s="2">
        <v>42594</v>
      </c>
      <c r="E1030" s="1" t="s">
        <v>18</v>
      </c>
      <c r="F1030" t="str">
        <f>HYPERLINK("http://www.sec.gov/Archives/edgar/data/8858/0000008858-16-000038-index.html")</f>
        <v>http://www.sec.gov/Archives/edgar/data/8858/0000008858-16-000038-index.html</v>
      </c>
    </row>
    <row r="1031" spans="1:6" x14ac:dyDescent="0.2">
      <c r="A1031" t="s">
        <v>956</v>
      </c>
      <c r="B1031" s="1">
        <v>1084765</v>
      </c>
      <c r="C1031" s="1">
        <v>7389</v>
      </c>
      <c r="D1031" s="2">
        <v>42593</v>
      </c>
      <c r="E1031" s="1" t="s">
        <v>18</v>
      </c>
      <c r="F1031" t="str">
        <f>HYPERLINK("http://www.sec.gov/Archives/edgar/data/1084765/0001193125-16-678405-index.html")</f>
        <v>http://www.sec.gov/Archives/edgar/data/1084765/0001193125-16-678405-index.html</v>
      </c>
    </row>
    <row r="1032" spans="1:6" x14ac:dyDescent="0.2">
      <c r="A1032" t="s">
        <v>957</v>
      </c>
      <c r="B1032" s="1">
        <v>1287900</v>
      </c>
      <c r="C1032" s="1">
        <v>1311</v>
      </c>
      <c r="D1032" s="2">
        <v>42593</v>
      </c>
      <c r="E1032" s="1" t="s">
        <v>18</v>
      </c>
      <c r="F1032" t="str">
        <f>HYPERLINK("http://www.sec.gov/Archives/edgar/data/1287900/0001493152-16-012178-index.html")</f>
        <v>http://www.sec.gov/Archives/edgar/data/1287900/0001493152-16-012178-index.html</v>
      </c>
    </row>
    <row r="1033" spans="1:6" x14ac:dyDescent="0.2">
      <c r="A1033" t="s">
        <v>958</v>
      </c>
      <c r="B1033" s="1">
        <v>1308161</v>
      </c>
      <c r="C1033" s="1">
        <v>4841</v>
      </c>
      <c r="D1033" s="2">
        <v>42593</v>
      </c>
      <c r="E1033" s="1" t="s">
        <v>18</v>
      </c>
      <c r="F1033" t="str">
        <f>HYPERLINK("http://www.sec.gov/Archives/edgar/data/1308161/0001564590-16-023961-index.html")</f>
        <v>http://www.sec.gov/Archives/edgar/data/1308161/0001564590-16-023961-index.html</v>
      </c>
    </row>
    <row r="1034" spans="1:6" x14ac:dyDescent="0.2">
      <c r="A1034" t="s">
        <v>959</v>
      </c>
      <c r="B1034" s="1">
        <v>1621430</v>
      </c>
      <c r="C1034" s="1">
        <v>4210</v>
      </c>
      <c r="D1034" s="2">
        <v>42593</v>
      </c>
      <c r="E1034" s="1" t="s">
        <v>18</v>
      </c>
      <c r="F1034" t="str">
        <f>HYPERLINK("http://www.sec.gov/Archives/edgar/data/1621430/0001493152-16-012167-index.html")</f>
        <v>http://www.sec.gov/Archives/edgar/data/1621430/0001493152-16-012167-index.html</v>
      </c>
    </row>
    <row r="1035" spans="1:6" x14ac:dyDescent="0.2">
      <c r="A1035" t="s">
        <v>960</v>
      </c>
      <c r="B1035" s="1">
        <v>55242</v>
      </c>
      <c r="C1035" s="1">
        <v>3541</v>
      </c>
      <c r="D1035" s="2">
        <v>42593</v>
      </c>
      <c r="E1035" s="1" t="s">
        <v>18</v>
      </c>
      <c r="F1035" t="str">
        <f>HYPERLINK("http://www.sec.gov/Archives/edgar/data/55242/0000055242-16-000060-index.html")</f>
        <v>http://www.sec.gov/Archives/edgar/data/55242/0000055242-16-000060-index.html</v>
      </c>
    </row>
    <row r="1036" spans="1:6" x14ac:dyDescent="0.2">
      <c r="A1036" t="s">
        <v>961</v>
      </c>
      <c r="B1036" s="1">
        <v>800459</v>
      </c>
      <c r="C1036" s="1">
        <v>3651</v>
      </c>
      <c r="D1036" s="2">
        <v>42593</v>
      </c>
      <c r="E1036" s="1" t="s">
        <v>18</v>
      </c>
      <c r="F1036" t="str">
        <f>HYPERLINK("http://www.sec.gov/Archives/edgar/data/800459/0001564590-16-024079-index.html")</f>
        <v>http://www.sec.gov/Archives/edgar/data/800459/0001564590-16-024079-index.html</v>
      </c>
    </row>
    <row r="1037" spans="1:6" x14ac:dyDescent="0.2">
      <c r="A1037" t="s">
        <v>962</v>
      </c>
      <c r="B1037" s="1">
        <v>85535</v>
      </c>
      <c r="C1037" s="1">
        <v>6795</v>
      </c>
      <c r="D1037" s="2">
        <v>42593</v>
      </c>
      <c r="E1037" s="1" t="s">
        <v>18</v>
      </c>
      <c r="F1037" t="str">
        <f>HYPERLINK("http://www.sec.gov/Archives/edgar/data/85535/0001047469-16-014916-index.html")</f>
        <v>http://www.sec.gov/Archives/edgar/data/85535/0001047469-16-014916-index.html</v>
      </c>
    </row>
    <row r="1038" spans="1:6" x14ac:dyDescent="0.2">
      <c r="A1038" t="s">
        <v>963</v>
      </c>
      <c r="B1038" s="1">
        <v>929940</v>
      </c>
      <c r="C1038" s="1">
        <v>7371</v>
      </c>
      <c r="D1038" s="2">
        <v>42593</v>
      </c>
      <c r="E1038" s="1" t="s">
        <v>18</v>
      </c>
      <c r="F1038" t="str">
        <f>HYPERLINK("http://www.sec.gov/Archives/edgar/data/929940/0001628280-16-018906-index.html")</f>
        <v>http://www.sec.gov/Archives/edgar/data/929940/0001628280-16-018906-index.html</v>
      </c>
    </row>
    <row r="1039" spans="1:6" x14ac:dyDescent="0.2">
      <c r="A1039" t="s">
        <v>374</v>
      </c>
      <c r="B1039" s="1">
        <v>868857</v>
      </c>
      <c r="C1039" s="1">
        <v>8711</v>
      </c>
      <c r="D1039" s="2">
        <v>42592</v>
      </c>
      <c r="E1039" s="1" t="s">
        <v>42</v>
      </c>
      <c r="F1039" t="str">
        <f>HYPERLINK("http://www.sec.gov/Archives/edgar/data/868857/0001047469-16-014900-index.html")</f>
        <v>http://www.sec.gov/Archives/edgar/data/868857/0001047469-16-014900-index.html</v>
      </c>
    </row>
    <row r="1040" spans="1:6" x14ac:dyDescent="0.2">
      <c r="A1040" t="s">
        <v>964</v>
      </c>
      <c r="B1040" s="1">
        <v>899923</v>
      </c>
      <c r="C1040" s="1">
        <v>2835</v>
      </c>
      <c r="D1040" s="2">
        <v>42592</v>
      </c>
      <c r="E1040" s="1" t="s">
        <v>18</v>
      </c>
      <c r="F1040" t="str">
        <f>HYPERLINK("http://www.sec.gov/Archives/edgar/data/899923/0001193125-16-677859-index.html")</f>
        <v>http://www.sec.gov/Archives/edgar/data/899923/0001193125-16-677859-index.html</v>
      </c>
    </row>
    <row r="1041" spans="1:6" x14ac:dyDescent="0.2">
      <c r="A1041" t="s">
        <v>965</v>
      </c>
      <c r="B1041" s="1">
        <v>1157408</v>
      </c>
      <c r="C1041" s="1">
        <v>8200</v>
      </c>
      <c r="D1041" s="2">
        <v>42591</v>
      </c>
      <c r="E1041" s="1" t="s">
        <v>18</v>
      </c>
      <c r="F1041" t="str">
        <f>HYPERLINK("http://www.sec.gov/Archives/edgar/data/1157408/0001047469-16-014855-index.html")</f>
        <v>http://www.sec.gov/Archives/edgar/data/1157408/0001047469-16-014855-index.html</v>
      </c>
    </row>
    <row r="1042" spans="1:6" x14ac:dyDescent="0.2">
      <c r="A1042" t="s">
        <v>966</v>
      </c>
      <c r="B1042" s="1">
        <v>1383312</v>
      </c>
      <c r="C1042" s="1">
        <v>7389</v>
      </c>
      <c r="D1042" s="2">
        <v>42591</v>
      </c>
      <c r="E1042" s="1" t="s">
        <v>18</v>
      </c>
      <c r="F1042" t="str">
        <f>HYPERLINK("http://www.sec.gov/Archives/edgar/data/1383312/0001383312-16-000108-index.html")</f>
        <v>http://www.sec.gov/Archives/edgar/data/1383312/0001383312-16-000108-index.html</v>
      </c>
    </row>
    <row r="1043" spans="1:6" x14ac:dyDescent="0.2">
      <c r="A1043" t="s">
        <v>967</v>
      </c>
      <c r="B1043" s="1">
        <v>1579428</v>
      </c>
      <c r="C1043" s="1">
        <v>2834</v>
      </c>
      <c r="D1043" s="2">
        <v>42591</v>
      </c>
      <c r="E1043" s="1" t="s">
        <v>42</v>
      </c>
      <c r="F1043" t="str">
        <f>HYPERLINK("http://www.sec.gov/Archives/edgar/data/1579428/0001558370-16-007797-index.html")</f>
        <v>http://www.sec.gov/Archives/edgar/data/1579428/0001558370-16-007797-index.html</v>
      </c>
    </row>
    <row r="1044" spans="1:6" x14ac:dyDescent="0.2">
      <c r="A1044" t="s">
        <v>968</v>
      </c>
      <c r="B1044" s="1">
        <v>1609702</v>
      </c>
      <c r="C1044" s="1">
        <v>7389</v>
      </c>
      <c r="D1044" s="2">
        <v>42591</v>
      </c>
      <c r="E1044" s="1" t="s">
        <v>18</v>
      </c>
      <c r="F1044" t="str">
        <f>HYPERLINK("http://www.sec.gov/Archives/edgar/data/1609702/0001609702-16-000046-index.html")</f>
        <v>http://www.sec.gov/Archives/edgar/data/1609702/0001609702-16-000046-index.html</v>
      </c>
    </row>
    <row r="1045" spans="1:6" x14ac:dyDescent="0.2">
      <c r="A1045" t="s">
        <v>969</v>
      </c>
      <c r="B1045" s="1">
        <v>32166</v>
      </c>
      <c r="C1045" s="1">
        <v>7359</v>
      </c>
      <c r="D1045" s="2">
        <v>42591</v>
      </c>
      <c r="E1045" s="1" t="s">
        <v>18</v>
      </c>
      <c r="F1045" t="str">
        <f>HYPERLINK("http://www.sec.gov/Archives/edgar/data/32166/0000032166-16-000065-index.html")</f>
        <v>http://www.sec.gov/Archives/edgar/data/32166/0000032166-16-000065-index.html</v>
      </c>
    </row>
    <row r="1046" spans="1:6" x14ac:dyDescent="0.2">
      <c r="A1046" t="s">
        <v>970</v>
      </c>
      <c r="B1046" s="1">
        <v>80424</v>
      </c>
      <c r="C1046" s="1">
        <v>2840</v>
      </c>
      <c r="D1046" s="2">
        <v>42591</v>
      </c>
      <c r="E1046" s="1" t="s">
        <v>18</v>
      </c>
      <c r="F1046" t="str">
        <f>HYPERLINK("http://www.sec.gov/Archives/edgar/data/80424/0000080424-16-000212-index.html")</f>
        <v>http://www.sec.gov/Archives/edgar/data/80424/0000080424-16-000212-index.html</v>
      </c>
    </row>
    <row r="1047" spans="1:6" x14ac:dyDescent="0.2">
      <c r="A1047" t="s">
        <v>971</v>
      </c>
      <c r="B1047" s="1">
        <v>861878</v>
      </c>
      <c r="C1047" s="1">
        <v>4955</v>
      </c>
      <c r="D1047" s="2">
        <v>42591</v>
      </c>
      <c r="E1047" s="1" t="s">
        <v>42</v>
      </c>
      <c r="F1047" t="str">
        <f>HYPERLINK("http://www.sec.gov/Archives/edgar/data/861878/0001564590-16-023768-index.html")</f>
        <v>http://www.sec.gov/Archives/edgar/data/861878/0001564590-16-023768-index.html</v>
      </c>
    </row>
    <row r="1048" spans="1:6" x14ac:dyDescent="0.2">
      <c r="A1048" t="s">
        <v>395</v>
      </c>
      <c r="B1048" s="1">
        <v>919175</v>
      </c>
      <c r="C1048" s="1">
        <v>5110</v>
      </c>
      <c r="D1048" s="2">
        <v>42591</v>
      </c>
      <c r="E1048" s="1" t="s">
        <v>42</v>
      </c>
      <c r="F1048" t="str">
        <f>HYPERLINK("http://www.sec.gov/Archives/edgar/data/919175/0001520138-16-001076-index.html")</f>
        <v>http://www.sec.gov/Archives/edgar/data/919175/0001520138-16-001076-index.html</v>
      </c>
    </row>
    <row r="1049" spans="1:6" x14ac:dyDescent="0.2">
      <c r="A1049" t="s">
        <v>972</v>
      </c>
      <c r="B1049" s="1">
        <v>1145460</v>
      </c>
      <c r="C1049" s="1">
        <v>2835</v>
      </c>
      <c r="D1049" s="2">
        <v>42590</v>
      </c>
      <c r="E1049" s="1" t="s">
        <v>18</v>
      </c>
      <c r="F1049" t="str">
        <f>HYPERLINK("http://www.sec.gov/Archives/edgar/data/1145460/0001193125-16-674184-index.html")</f>
        <v>http://www.sec.gov/Archives/edgar/data/1145460/0001193125-16-674184-index.html</v>
      </c>
    </row>
    <row r="1050" spans="1:6" x14ac:dyDescent="0.2">
      <c r="A1050" t="s">
        <v>973</v>
      </c>
      <c r="B1050" s="1">
        <v>1566897</v>
      </c>
      <c r="C1050" s="1">
        <v>7011</v>
      </c>
      <c r="D1050" s="2">
        <v>42590</v>
      </c>
      <c r="E1050" s="1" t="s">
        <v>42</v>
      </c>
      <c r="F1050" t="str">
        <f>HYPERLINK("http://www.sec.gov/Archives/edgar/data/1566897/0001566897-16-000105-index.html")</f>
        <v>http://www.sec.gov/Archives/edgar/data/1566897/0001566897-16-000105-index.html</v>
      </c>
    </row>
    <row r="1051" spans="1:6" x14ac:dyDescent="0.2">
      <c r="A1051" t="s">
        <v>974</v>
      </c>
      <c r="B1051" s="1">
        <v>76063</v>
      </c>
      <c r="C1051" s="1">
        <v>4922</v>
      </c>
      <c r="D1051" s="2">
        <v>42590</v>
      </c>
      <c r="E1051" s="1" t="s">
        <v>42</v>
      </c>
      <c r="F1051" t="str">
        <f>HYPERLINK("http://www.sec.gov/Archives/edgar/data/76063/0000076063-16-000055-index.html")</f>
        <v>http://www.sec.gov/Archives/edgar/data/76063/0000076063-16-000055-index.html</v>
      </c>
    </row>
    <row r="1052" spans="1:6" x14ac:dyDescent="0.2">
      <c r="A1052" t="s">
        <v>975</v>
      </c>
      <c r="B1052" s="1">
        <v>896156</v>
      </c>
      <c r="C1052" s="1">
        <v>2511</v>
      </c>
      <c r="D1052" s="2">
        <v>42590</v>
      </c>
      <c r="E1052" s="1" t="s">
        <v>18</v>
      </c>
      <c r="F1052" t="str">
        <f>HYPERLINK("http://www.sec.gov/Archives/edgar/data/896156/0001437749-16-036767-index.html")</f>
        <v>http://www.sec.gov/Archives/edgar/data/896156/0001437749-16-036767-index.html</v>
      </c>
    </row>
    <row r="1053" spans="1:6" x14ac:dyDescent="0.2">
      <c r="A1053" t="s">
        <v>976</v>
      </c>
      <c r="B1053" s="1">
        <v>1137789</v>
      </c>
      <c r="C1053" s="1">
        <v>3572</v>
      </c>
      <c r="D1053" s="2">
        <v>42587</v>
      </c>
      <c r="E1053" s="1" t="s">
        <v>18</v>
      </c>
      <c r="F1053" t="str">
        <f>HYPERLINK("http://www.sec.gov/Archives/edgar/data/1137789/0001047469-16-014732-index.html")</f>
        <v>http://www.sec.gov/Archives/edgar/data/1137789/0001047469-16-014732-index.html</v>
      </c>
    </row>
    <row r="1054" spans="1:6" x14ac:dyDescent="0.2">
      <c r="A1054" t="s">
        <v>977</v>
      </c>
      <c r="B1054" s="1">
        <v>1399855</v>
      </c>
      <c r="C1054" s="1">
        <v>8200</v>
      </c>
      <c r="D1054" s="2">
        <v>42587</v>
      </c>
      <c r="E1054" s="1" t="s">
        <v>18</v>
      </c>
      <c r="F1054" t="str">
        <f>HYPERLINK("http://www.sec.gov/Archives/edgar/data/1399855/0001654954-16-001234-index.html")</f>
        <v>http://www.sec.gov/Archives/edgar/data/1399855/0001654954-16-001234-index.html</v>
      </c>
    </row>
    <row r="1055" spans="1:6" x14ac:dyDescent="0.2">
      <c r="A1055" t="s">
        <v>978</v>
      </c>
      <c r="B1055" s="1">
        <v>319201</v>
      </c>
      <c r="C1055" s="1">
        <v>3827</v>
      </c>
      <c r="D1055" s="2">
        <v>42587</v>
      </c>
      <c r="E1055" s="1" t="s">
        <v>18</v>
      </c>
      <c r="F1055" t="str">
        <f>HYPERLINK("http://www.sec.gov/Archives/edgar/data/319201/0000319201-16-000090-index.html")</f>
        <v>http://www.sec.gov/Archives/edgar/data/319201/0000319201-16-000090-index.html</v>
      </c>
    </row>
    <row r="1056" spans="1:6" x14ac:dyDescent="0.2">
      <c r="A1056" t="s">
        <v>979</v>
      </c>
      <c r="B1056" s="1">
        <v>36369</v>
      </c>
      <c r="C1056" s="1">
        <v>6500</v>
      </c>
      <c r="D1056" s="2">
        <v>42587</v>
      </c>
      <c r="E1056" s="1" t="s">
        <v>18</v>
      </c>
      <c r="F1056" t="str">
        <f>HYPERLINK("http://www.sec.gov/Archives/edgar/data/36369/0001003297-16-000794-index.html")</f>
        <v>http://www.sec.gov/Archives/edgar/data/36369/0001003297-16-000794-index.html</v>
      </c>
    </row>
    <row r="1057" spans="1:6" x14ac:dyDescent="0.2">
      <c r="A1057" t="s">
        <v>980</v>
      </c>
      <c r="B1057" s="1">
        <v>8670</v>
      </c>
      <c r="C1057" s="1">
        <v>7374</v>
      </c>
      <c r="D1057" s="2">
        <v>42587</v>
      </c>
      <c r="E1057" s="1" t="s">
        <v>18</v>
      </c>
      <c r="F1057" t="str">
        <f>HYPERLINK("http://www.sec.gov/Archives/edgar/data/8670/0000008670-16-000053-index.html")</f>
        <v>http://www.sec.gov/Archives/edgar/data/8670/0000008670-16-000053-index.html</v>
      </c>
    </row>
    <row r="1058" spans="1:6" x14ac:dyDescent="0.2">
      <c r="A1058" t="s">
        <v>981</v>
      </c>
      <c r="B1058" s="1">
        <v>90896</v>
      </c>
      <c r="C1058" s="1">
        <v>2451</v>
      </c>
      <c r="D1058" s="2">
        <v>42587</v>
      </c>
      <c r="E1058" s="1" t="s">
        <v>18</v>
      </c>
      <c r="F1058" t="str">
        <f>HYPERLINK("http://www.sec.gov/Archives/edgar/data/90896/0001193125-16-673582-index.html")</f>
        <v>http://www.sec.gov/Archives/edgar/data/90896/0001193125-16-673582-index.html</v>
      </c>
    </row>
    <row r="1059" spans="1:6" x14ac:dyDescent="0.2">
      <c r="A1059" t="s">
        <v>982</v>
      </c>
      <c r="B1059" s="1">
        <v>922612</v>
      </c>
      <c r="C1059" s="1">
        <v>3823</v>
      </c>
      <c r="D1059" s="2">
        <v>42587</v>
      </c>
      <c r="E1059" s="1" t="s">
        <v>18</v>
      </c>
      <c r="F1059" t="str">
        <f>HYPERLINK("http://www.sec.gov/Archives/edgar/data/922612/0001193125-16-673466-index.html")</f>
        <v>http://www.sec.gov/Archives/edgar/data/922612/0001193125-16-673466-index.html</v>
      </c>
    </row>
    <row r="1060" spans="1:6" x14ac:dyDescent="0.2">
      <c r="A1060" t="s">
        <v>983</v>
      </c>
      <c r="B1060" s="1">
        <v>943819</v>
      </c>
      <c r="C1060" s="1">
        <v>3841</v>
      </c>
      <c r="D1060" s="2">
        <v>42587</v>
      </c>
      <c r="E1060" s="1" t="s">
        <v>18</v>
      </c>
      <c r="F1060" t="str">
        <f>HYPERLINK("http://www.sec.gov/Archives/edgar/data/943819/0001193125-16-673607-index.html")</f>
        <v>http://www.sec.gov/Archives/edgar/data/943819/0001193125-16-673607-index.html</v>
      </c>
    </row>
    <row r="1061" spans="1:6" x14ac:dyDescent="0.2">
      <c r="A1061" t="s">
        <v>984</v>
      </c>
      <c r="B1061" s="1">
        <v>1496741</v>
      </c>
      <c r="C1061" s="1">
        <v>7389</v>
      </c>
      <c r="D1061" s="2">
        <v>42586</v>
      </c>
      <c r="E1061" s="1" t="s">
        <v>21</v>
      </c>
      <c r="F1061" t="str">
        <f>HYPERLINK("http://www.sec.gov/Archives/edgar/data/1496741/0001515971-16-000566-index.html")</f>
        <v>http://www.sec.gov/Archives/edgar/data/1496741/0001515971-16-000566-index.html</v>
      </c>
    </row>
    <row r="1062" spans="1:6" x14ac:dyDescent="0.2">
      <c r="A1062" t="s">
        <v>921</v>
      </c>
      <c r="B1062" s="1">
        <v>42228</v>
      </c>
      <c r="C1062" s="1">
        <v>2090</v>
      </c>
      <c r="D1062" s="2">
        <v>42586</v>
      </c>
      <c r="E1062" s="1" t="s">
        <v>18</v>
      </c>
      <c r="F1062" t="str">
        <f>HYPERLINK("http://www.sec.gov/Archives/edgar/data/42228/0001144204-16-116506-index.html")</f>
        <v>http://www.sec.gov/Archives/edgar/data/42228/0001144204-16-116506-index.html</v>
      </c>
    </row>
    <row r="1063" spans="1:6" x14ac:dyDescent="0.2">
      <c r="A1063" t="s">
        <v>395</v>
      </c>
      <c r="B1063" s="1">
        <v>919175</v>
      </c>
      <c r="C1063" s="1">
        <v>5110</v>
      </c>
      <c r="D1063" s="2">
        <v>42586</v>
      </c>
      <c r="E1063" s="1" t="s">
        <v>18</v>
      </c>
      <c r="F1063" t="str">
        <f>HYPERLINK("http://www.sec.gov/Archives/edgar/data/919175/0001520138-16-001071-index.html")</f>
        <v>http://www.sec.gov/Archives/edgar/data/919175/0001520138-16-001071-index.html</v>
      </c>
    </row>
    <row r="1064" spans="1:6" x14ac:dyDescent="0.2">
      <c r="A1064" t="s">
        <v>985</v>
      </c>
      <c r="B1064" s="1">
        <v>1586573</v>
      </c>
      <c r="C1064" s="1">
        <v>6770</v>
      </c>
      <c r="D1064" s="2">
        <v>42585</v>
      </c>
      <c r="E1064" s="1" t="s">
        <v>18</v>
      </c>
      <c r="F1064" t="str">
        <f>HYPERLINK("http://www.sec.gov/Archives/edgar/data/1586573/0001144204-16-116112-index.html")</f>
        <v>http://www.sec.gov/Archives/edgar/data/1586573/0001144204-16-116112-index.html</v>
      </c>
    </row>
    <row r="1065" spans="1:6" x14ac:dyDescent="0.2">
      <c r="A1065" t="s">
        <v>986</v>
      </c>
      <c r="B1065" s="1">
        <v>1662633</v>
      </c>
      <c r="C1065" s="1">
        <v>6770</v>
      </c>
      <c r="D1065" s="2">
        <v>42584</v>
      </c>
      <c r="E1065" s="1" t="s">
        <v>18</v>
      </c>
      <c r="F1065" t="str">
        <f>HYPERLINK("http://www.sec.gov/Archives/edgar/data/1662633/0001021432-16-001418-index.html")</f>
        <v>http://www.sec.gov/Archives/edgar/data/1662633/0001021432-16-001418-index.html</v>
      </c>
    </row>
    <row r="1066" spans="1:6" x14ac:dyDescent="0.2">
      <c r="A1066" t="s">
        <v>987</v>
      </c>
      <c r="B1066" s="1">
        <v>1662640</v>
      </c>
      <c r="C1066" s="1">
        <v>6770</v>
      </c>
      <c r="D1066" s="2">
        <v>42584</v>
      </c>
      <c r="E1066" s="1" t="s">
        <v>18</v>
      </c>
      <c r="F1066" t="str">
        <f>HYPERLINK("http://www.sec.gov/Archives/edgar/data/1662640/0001021432-16-001420-index.html")</f>
        <v>http://www.sec.gov/Archives/edgar/data/1662640/0001021432-16-001420-index.html</v>
      </c>
    </row>
    <row r="1067" spans="1:6" x14ac:dyDescent="0.2">
      <c r="A1067" t="s">
        <v>988</v>
      </c>
      <c r="B1067" s="1">
        <v>1662670</v>
      </c>
      <c r="C1067" s="1">
        <v>6770</v>
      </c>
      <c r="D1067" s="2">
        <v>42584</v>
      </c>
      <c r="E1067" s="1" t="s">
        <v>18</v>
      </c>
      <c r="F1067" t="str">
        <f>HYPERLINK("http://www.sec.gov/Archives/edgar/data/1662670/0001021432-16-001419-index.html")</f>
        <v>http://www.sec.gov/Archives/edgar/data/1662670/0001021432-16-001419-index.html</v>
      </c>
    </row>
    <row r="1068" spans="1:6" x14ac:dyDescent="0.2">
      <c r="A1068" t="s">
        <v>989</v>
      </c>
      <c r="B1068" s="1">
        <v>1005286</v>
      </c>
      <c r="C1068" s="1">
        <v>2821</v>
      </c>
      <c r="D1068" s="2">
        <v>42583</v>
      </c>
      <c r="E1068" s="1" t="s">
        <v>18</v>
      </c>
      <c r="F1068" t="str">
        <f>HYPERLINK("http://www.sec.gov/Archives/edgar/data/1005286/0001437749-16-036012-index.html")</f>
        <v>http://www.sec.gov/Archives/edgar/data/1005286/0001437749-16-036012-index.html</v>
      </c>
    </row>
    <row r="1069" spans="1:6" x14ac:dyDescent="0.2">
      <c r="A1069" t="s">
        <v>990</v>
      </c>
      <c r="B1069" s="1">
        <v>108516</v>
      </c>
      <c r="C1069" s="1">
        <v>3310</v>
      </c>
      <c r="D1069" s="2">
        <v>42583</v>
      </c>
      <c r="E1069" s="1" t="s">
        <v>18</v>
      </c>
      <c r="F1069" t="str">
        <f>HYPERLINK("http://www.sec.gov/Archives/edgar/data/108516/0001193125-16-666636-index.html")</f>
        <v>http://www.sec.gov/Archives/edgar/data/108516/0001193125-16-666636-index.html</v>
      </c>
    </row>
    <row r="1070" spans="1:6" x14ac:dyDescent="0.2">
      <c r="A1070" t="s">
        <v>991</v>
      </c>
      <c r="B1070" s="1">
        <v>1275187</v>
      </c>
      <c r="C1070" s="1">
        <v>3841</v>
      </c>
      <c r="D1070" s="2">
        <v>42583</v>
      </c>
      <c r="E1070" s="1" t="s">
        <v>18</v>
      </c>
      <c r="F1070" t="str">
        <f>HYPERLINK("http://www.sec.gov/Archives/edgar/data/1275187/0001275187-16-000034-index.html")</f>
        <v>http://www.sec.gov/Archives/edgar/data/1275187/0001275187-16-000034-index.html</v>
      </c>
    </row>
    <row r="1071" spans="1:6" x14ac:dyDescent="0.2">
      <c r="A1071" t="s">
        <v>992</v>
      </c>
      <c r="B1071" s="1">
        <v>1157075</v>
      </c>
      <c r="C1071" s="1">
        <v>2833</v>
      </c>
      <c r="D1071" s="2">
        <v>42580</v>
      </c>
      <c r="E1071" s="1" t="s">
        <v>18</v>
      </c>
      <c r="F1071" t="str">
        <f>HYPERLINK("http://www.sec.gov/Archives/edgar/data/1157075/0001019687-16-007057-index.html")</f>
        <v>http://www.sec.gov/Archives/edgar/data/1157075/0001019687-16-007057-index.html</v>
      </c>
    </row>
    <row r="1072" spans="1:6" x14ac:dyDescent="0.2">
      <c r="A1072" t="s">
        <v>993</v>
      </c>
      <c r="B1072" s="1">
        <v>1172298</v>
      </c>
      <c r="C1072" s="1">
        <v>1311</v>
      </c>
      <c r="D1072" s="2">
        <v>42580</v>
      </c>
      <c r="E1072" s="1" t="s">
        <v>18</v>
      </c>
      <c r="F1072" t="str">
        <f>HYPERLINK("http://www.sec.gov/Archives/edgar/data/1172298/0001415889-16-006632-index.html")</f>
        <v>http://www.sec.gov/Archives/edgar/data/1172298/0001415889-16-006632-index.html</v>
      </c>
    </row>
    <row r="1073" spans="1:6" x14ac:dyDescent="0.2">
      <c r="A1073" t="s">
        <v>994</v>
      </c>
      <c r="B1073" s="1">
        <v>1308569</v>
      </c>
      <c r="C1073" s="1">
        <v>8742</v>
      </c>
      <c r="D1073" s="2">
        <v>42580</v>
      </c>
      <c r="E1073" s="1" t="s">
        <v>18</v>
      </c>
      <c r="F1073" t="str">
        <f>HYPERLINK("http://www.sec.gov/Archives/edgar/data/1308569/0001553350-16-002274-index.html")</f>
        <v>http://www.sec.gov/Archives/edgar/data/1308569/0001553350-16-002274-index.html</v>
      </c>
    </row>
    <row r="1074" spans="1:6" x14ac:dyDescent="0.2">
      <c r="A1074" t="s">
        <v>995</v>
      </c>
      <c r="B1074" s="1">
        <v>1429764</v>
      </c>
      <c r="C1074" s="1">
        <v>3612</v>
      </c>
      <c r="D1074" s="2">
        <v>42580</v>
      </c>
      <c r="E1074" s="1" t="s">
        <v>18</v>
      </c>
      <c r="F1074" t="str">
        <f>HYPERLINK("http://www.sec.gov/Archives/edgar/data/1429764/0001493152-16-011853-index.html")</f>
        <v>http://www.sec.gov/Archives/edgar/data/1429764/0001493152-16-011853-index.html</v>
      </c>
    </row>
    <row r="1075" spans="1:6" x14ac:dyDescent="0.2">
      <c r="A1075" t="s">
        <v>996</v>
      </c>
      <c r="B1075" s="1">
        <v>1463208</v>
      </c>
      <c r="C1075" s="1">
        <v>1381</v>
      </c>
      <c r="D1075" s="2">
        <v>42580</v>
      </c>
      <c r="E1075" s="1" t="s">
        <v>18</v>
      </c>
      <c r="F1075" t="str">
        <f>HYPERLINK("http://www.sec.gov/Archives/edgar/data/1463208/0001493152-16-011846-index.html")</f>
        <v>http://www.sec.gov/Archives/edgar/data/1463208/0001493152-16-011846-index.html</v>
      </c>
    </row>
    <row r="1076" spans="1:6" x14ac:dyDescent="0.2">
      <c r="A1076" t="s">
        <v>745</v>
      </c>
      <c r="B1076" s="1">
        <v>1487843</v>
      </c>
      <c r="C1076" s="1">
        <v>6500</v>
      </c>
      <c r="D1076" s="2">
        <v>42580</v>
      </c>
      <c r="E1076" s="1" t="s">
        <v>42</v>
      </c>
      <c r="F1076" t="str">
        <f>HYPERLINK("http://www.sec.gov/Archives/edgar/data/1487843/0001213900-16-015379-index.html")</f>
        <v>http://www.sec.gov/Archives/edgar/data/1487843/0001213900-16-015379-index.html</v>
      </c>
    </row>
    <row r="1077" spans="1:6" x14ac:dyDescent="0.2">
      <c r="A1077" t="s">
        <v>997</v>
      </c>
      <c r="B1077" s="1">
        <v>1490490</v>
      </c>
      <c r="C1077" s="1">
        <v>6500</v>
      </c>
      <c r="D1077" s="2">
        <v>42580</v>
      </c>
      <c r="E1077" s="1" t="s">
        <v>18</v>
      </c>
      <c r="F1077" t="str">
        <f>HYPERLINK("http://www.sec.gov/Archives/edgar/data/1490490/0001213900-16-015390-index.html")</f>
        <v>http://www.sec.gov/Archives/edgar/data/1490490/0001213900-16-015390-index.html</v>
      </c>
    </row>
    <row r="1078" spans="1:6" x14ac:dyDescent="0.2">
      <c r="A1078" t="s">
        <v>998</v>
      </c>
      <c r="B1078" s="1">
        <v>1533357</v>
      </c>
      <c r="C1078" s="1">
        <v>1040</v>
      </c>
      <c r="D1078" s="2">
        <v>42580</v>
      </c>
      <c r="E1078" s="1" t="s">
        <v>18</v>
      </c>
      <c r="F1078" t="str">
        <f>HYPERLINK("http://www.sec.gov/Archives/edgar/data/1533357/0001096906-16-001780-index.html")</f>
        <v>http://www.sec.gov/Archives/edgar/data/1533357/0001096906-16-001780-index.html</v>
      </c>
    </row>
    <row r="1079" spans="1:6" x14ac:dyDescent="0.2">
      <c r="A1079" t="s">
        <v>999</v>
      </c>
      <c r="B1079" s="1">
        <v>1580836</v>
      </c>
      <c r="C1079" s="1">
        <v>2833</v>
      </c>
      <c r="D1079" s="2">
        <v>42580</v>
      </c>
      <c r="E1079" s="1" t="s">
        <v>18</v>
      </c>
      <c r="F1079" t="str">
        <f>HYPERLINK("http://www.sec.gov/Archives/edgar/data/1580836/0001213900-16-015399-index.html")</f>
        <v>http://www.sec.gov/Archives/edgar/data/1580836/0001213900-16-015399-index.html</v>
      </c>
    </row>
    <row r="1080" spans="1:6" x14ac:dyDescent="0.2">
      <c r="A1080" t="s">
        <v>1000</v>
      </c>
      <c r="B1080" s="1">
        <v>1625042</v>
      </c>
      <c r="C1080" s="1">
        <v>6770</v>
      </c>
      <c r="D1080" s="2">
        <v>42580</v>
      </c>
      <c r="E1080" s="1" t="s">
        <v>21</v>
      </c>
      <c r="F1080" t="str">
        <f>HYPERLINK("http://www.sec.gov/Archives/edgar/data/1625042/0001213900-16-015396-index.html")</f>
        <v>http://www.sec.gov/Archives/edgar/data/1625042/0001213900-16-015396-index.html</v>
      </c>
    </row>
    <row r="1081" spans="1:6" x14ac:dyDescent="0.2">
      <c r="A1081" t="s">
        <v>1001</v>
      </c>
      <c r="B1081" s="1">
        <v>1649676</v>
      </c>
      <c r="C1081" s="1">
        <v>7374</v>
      </c>
      <c r="D1081" s="2">
        <v>42580</v>
      </c>
      <c r="E1081" s="1" t="s">
        <v>18</v>
      </c>
      <c r="F1081" t="str">
        <f>HYPERLINK("http://www.sec.gov/Archives/edgar/data/1649676/0001594062-16-000547-index.html")</f>
        <v>http://www.sec.gov/Archives/edgar/data/1649676/0001594062-16-000547-index.html</v>
      </c>
    </row>
    <row r="1082" spans="1:6" x14ac:dyDescent="0.2">
      <c r="A1082" t="s">
        <v>1002</v>
      </c>
      <c r="B1082" s="1">
        <v>27093</v>
      </c>
      <c r="C1082" s="1">
        <v>3572</v>
      </c>
      <c r="D1082" s="2">
        <v>42580</v>
      </c>
      <c r="E1082" s="1" t="s">
        <v>18</v>
      </c>
      <c r="F1082" t="str">
        <f>HYPERLINK("http://www.sec.gov/Archives/edgar/data/27093/0001171520-16-001006-index.html")</f>
        <v>http://www.sec.gov/Archives/edgar/data/27093/0001171520-16-001006-index.html</v>
      </c>
    </row>
    <row r="1083" spans="1:6" x14ac:dyDescent="0.2">
      <c r="A1083" t="s">
        <v>1003</v>
      </c>
      <c r="B1083" s="1">
        <v>277058</v>
      </c>
      <c r="C1083" s="1">
        <v>7990</v>
      </c>
      <c r="D1083" s="2">
        <v>42580</v>
      </c>
      <c r="E1083" s="1" t="s">
        <v>18</v>
      </c>
      <c r="F1083" t="str">
        <f>HYPERLINK("http://www.sec.gov/Archives/edgar/data/277058/0001144204-16-115237-index.html")</f>
        <v>http://www.sec.gov/Archives/edgar/data/277058/0001144204-16-115237-index.html</v>
      </c>
    </row>
    <row r="1084" spans="1:6" x14ac:dyDescent="0.2">
      <c r="A1084" t="s">
        <v>1004</v>
      </c>
      <c r="B1084" s="1">
        <v>317788</v>
      </c>
      <c r="C1084" s="1">
        <v>6794</v>
      </c>
      <c r="D1084" s="2">
        <v>42580</v>
      </c>
      <c r="E1084" s="1" t="s">
        <v>42</v>
      </c>
      <c r="F1084" t="str">
        <f>HYPERLINK("http://www.sec.gov/Archives/edgar/data/317788/0001628280-16-017954-index.html")</f>
        <v>http://www.sec.gov/Archives/edgar/data/317788/0001628280-16-017954-index.html</v>
      </c>
    </row>
    <row r="1085" spans="1:6" x14ac:dyDescent="0.2">
      <c r="A1085" t="s">
        <v>1005</v>
      </c>
      <c r="B1085" s="1">
        <v>350868</v>
      </c>
      <c r="C1085" s="1">
        <v>3669</v>
      </c>
      <c r="D1085" s="2">
        <v>42580</v>
      </c>
      <c r="E1085" s="1" t="s">
        <v>42</v>
      </c>
      <c r="F1085" t="str">
        <f>HYPERLINK("http://www.sec.gov/Archives/edgar/data/350868/0001047469-16-014552-index.html")</f>
        <v>http://www.sec.gov/Archives/edgar/data/350868/0001047469-16-014552-index.html</v>
      </c>
    </row>
    <row r="1086" spans="1:6" x14ac:dyDescent="0.2">
      <c r="A1086" t="s">
        <v>1006</v>
      </c>
      <c r="B1086" s="1">
        <v>355948</v>
      </c>
      <c r="C1086" s="1">
        <v>5065</v>
      </c>
      <c r="D1086" s="2">
        <v>42580</v>
      </c>
      <c r="E1086" s="1" t="s">
        <v>18</v>
      </c>
      <c r="F1086" t="str">
        <f>HYPERLINK("http://www.sec.gov/Archives/edgar/data/355948/0001387131-16-006220-index.html")</f>
        <v>http://www.sec.gov/Archives/edgar/data/355948/0001387131-16-006220-index.html</v>
      </c>
    </row>
    <row r="1087" spans="1:6" x14ac:dyDescent="0.2">
      <c r="A1087" t="s">
        <v>1007</v>
      </c>
      <c r="B1087" s="1">
        <v>39020</v>
      </c>
      <c r="C1087" s="1">
        <v>3825</v>
      </c>
      <c r="D1087" s="2">
        <v>42580</v>
      </c>
      <c r="E1087" s="1" t="s">
        <v>18</v>
      </c>
      <c r="F1087" t="str">
        <f>HYPERLINK("http://www.sec.gov/Archives/edgar/data/39020/0001185185-16-005052-index.html")</f>
        <v>http://www.sec.gov/Archives/edgar/data/39020/0001185185-16-005052-index.html</v>
      </c>
    </row>
    <row r="1088" spans="1:6" x14ac:dyDescent="0.2">
      <c r="A1088" t="s">
        <v>1008</v>
      </c>
      <c r="B1088" s="1">
        <v>6207</v>
      </c>
      <c r="C1088" s="1">
        <v>2721</v>
      </c>
      <c r="D1088" s="2">
        <v>42580</v>
      </c>
      <c r="E1088" s="1" t="s">
        <v>18</v>
      </c>
      <c r="F1088" t="str">
        <f>HYPERLINK("http://www.sec.gov/Archives/edgar/data/6207/0001144204-16-115345-index.html")</f>
        <v>http://www.sec.gov/Archives/edgar/data/6207/0001144204-16-115345-index.html</v>
      </c>
    </row>
    <row r="1089" spans="1:6" x14ac:dyDescent="0.2">
      <c r="A1089" t="s">
        <v>1009</v>
      </c>
      <c r="B1089" s="1">
        <v>711377</v>
      </c>
      <c r="C1089" s="1">
        <v>2835</v>
      </c>
      <c r="D1089" s="2">
        <v>42580</v>
      </c>
      <c r="E1089" s="1" t="s">
        <v>18</v>
      </c>
      <c r="F1089" t="str">
        <f>HYPERLINK("http://www.sec.gov/Archives/edgar/data/711377/0001193125-16-664134-index.html")</f>
        <v>http://www.sec.gov/Archives/edgar/data/711377/0001193125-16-664134-index.html</v>
      </c>
    </row>
    <row r="1090" spans="1:6" x14ac:dyDescent="0.2">
      <c r="A1090" t="s">
        <v>1010</v>
      </c>
      <c r="B1090" s="1">
        <v>723254</v>
      </c>
      <c r="C1090" s="1">
        <v>2320</v>
      </c>
      <c r="D1090" s="2">
        <v>42580</v>
      </c>
      <c r="E1090" s="1" t="s">
        <v>18</v>
      </c>
      <c r="F1090" t="str">
        <f>HYPERLINK("http://www.sec.gov/Archives/edgar/data/723254/0000723254-16-000050-index.html")</f>
        <v>http://www.sec.gov/Archives/edgar/data/723254/0000723254-16-000050-index.html</v>
      </c>
    </row>
    <row r="1091" spans="1:6" x14ac:dyDescent="0.2">
      <c r="A1091" t="s">
        <v>1011</v>
      </c>
      <c r="B1091" s="1">
        <v>771856</v>
      </c>
      <c r="C1091" s="1">
        <v>2836</v>
      </c>
      <c r="D1091" s="2">
        <v>42580</v>
      </c>
      <c r="E1091" s="1" t="s">
        <v>18</v>
      </c>
      <c r="F1091" t="str">
        <f>HYPERLINK("http://www.sec.gov/Archives/edgar/data/771856/0001628280-16-017936-index.html")</f>
        <v>http://www.sec.gov/Archives/edgar/data/771856/0001628280-16-017936-index.html</v>
      </c>
    </row>
    <row r="1092" spans="1:6" x14ac:dyDescent="0.2">
      <c r="A1092" t="s">
        <v>1012</v>
      </c>
      <c r="B1092" s="1">
        <v>78749</v>
      </c>
      <c r="C1092" s="1">
        <v>7373</v>
      </c>
      <c r="D1092" s="2">
        <v>42580</v>
      </c>
      <c r="E1092" s="1" t="s">
        <v>42</v>
      </c>
      <c r="F1092" t="str">
        <f>HYPERLINK("http://www.sec.gov/Archives/edgar/data/78749/0000078749-16-000085-index.html")</f>
        <v>http://www.sec.gov/Archives/edgar/data/78749/0000078749-16-000085-index.html</v>
      </c>
    </row>
    <row r="1093" spans="1:6" x14ac:dyDescent="0.2">
      <c r="A1093" t="s">
        <v>1013</v>
      </c>
      <c r="B1093" s="1">
        <v>806592</v>
      </c>
      <c r="C1093" s="1">
        <v>2834</v>
      </c>
      <c r="D1093" s="2">
        <v>42580</v>
      </c>
      <c r="E1093" s="1" t="s">
        <v>18</v>
      </c>
      <c r="F1093" t="str">
        <f>HYPERLINK("http://www.sec.gov/Archives/edgar/data/806592/0001448788-16-000142-index.html")</f>
        <v>http://www.sec.gov/Archives/edgar/data/806592/0001448788-16-000142-index.html</v>
      </c>
    </row>
    <row r="1094" spans="1:6" x14ac:dyDescent="0.2">
      <c r="A1094" t="s">
        <v>1014</v>
      </c>
      <c r="B1094" s="1">
        <v>915358</v>
      </c>
      <c r="C1094" s="1">
        <v>3672</v>
      </c>
      <c r="D1094" s="2">
        <v>42580</v>
      </c>
      <c r="E1094" s="1" t="s">
        <v>18</v>
      </c>
      <c r="F1094" t="str">
        <f>HYPERLINK("http://www.sec.gov/Archives/edgar/data/915358/0000915358-16-000038-index.html")</f>
        <v>http://www.sec.gov/Archives/edgar/data/915358/0000915358-16-000038-index.html</v>
      </c>
    </row>
    <row r="1095" spans="1:6" x14ac:dyDescent="0.2">
      <c r="A1095" t="s">
        <v>1015</v>
      </c>
      <c r="B1095" s="1">
        <v>918251</v>
      </c>
      <c r="C1095" s="1">
        <v>3714</v>
      </c>
      <c r="D1095" s="2">
        <v>42580</v>
      </c>
      <c r="E1095" s="1" t="s">
        <v>42</v>
      </c>
      <c r="F1095" t="str">
        <f>HYPERLINK("http://www.sec.gov/Archives/edgar/data/918251/0001140361-16-073886-index.html")</f>
        <v>http://www.sec.gov/Archives/edgar/data/918251/0001140361-16-073886-index.html</v>
      </c>
    </row>
    <row r="1096" spans="1:6" x14ac:dyDescent="0.2">
      <c r="A1096" t="s">
        <v>1016</v>
      </c>
      <c r="B1096" s="1">
        <v>1086745</v>
      </c>
      <c r="C1096" s="1">
        <v>4899</v>
      </c>
      <c r="D1096" s="2">
        <v>42579</v>
      </c>
      <c r="E1096" s="1" t="s">
        <v>18</v>
      </c>
      <c r="F1096" t="str">
        <f>HYPERLINK("http://www.sec.gov/Archives/edgar/data/1086745/0001144204-16-115014-index.html")</f>
        <v>http://www.sec.gov/Archives/edgar/data/1086745/0001144204-16-115014-index.html</v>
      </c>
    </row>
    <row r="1097" spans="1:6" x14ac:dyDescent="0.2">
      <c r="A1097" t="s">
        <v>1017</v>
      </c>
      <c r="B1097" s="1">
        <v>110621</v>
      </c>
      <c r="C1097" s="1">
        <v>2851</v>
      </c>
      <c r="D1097" s="2">
        <v>42579</v>
      </c>
      <c r="E1097" s="1" t="s">
        <v>18</v>
      </c>
      <c r="F1097" t="str">
        <f>HYPERLINK("http://www.sec.gov/Archives/edgar/data/110621/0001564590-16-021706-index.html")</f>
        <v>http://www.sec.gov/Archives/edgar/data/110621/0001564590-16-021706-index.html</v>
      </c>
    </row>
    <row r="1098" spans="1:6" x14ac:dyDescent="0.2">
      <c r="A1098" t="s">
        <v>1018</v>
      </c>
      <c r="B1098" s="1">
        <v>1123360</v>
      </c>
      <c r="C1098" s="1">
        <v>7389</v>
      </c>
      <c r="D1098" s="2">
        <v>42579</v>
      </c>
      <c r="E1098" s="1" t="s">
        <v>18</v>
      </c>
      <c r="F1098" t="str">
        <f>HYPERLINK("http://www.sec.gov/Archives/edgar/data/1123360/0001123360-16-000094-index.html")</f>
        <v>http://www.sec.gov/Archives/edgar/data/1123360/0001123360-16-000094-index.html</v>
      </c>
    </row>
    <row r="1099" spans="1:6" x14ac:dyDescent="0.2">
      <c r="A1099" t="s">
        <v>1019</v>
      </c>
      <c r="B1099" s="1">
        <v>1405663</v>
      </c>
      <c r="C1099" s="1">
        <v>1000</v>
      </c>
      <c r="D1099" s="2">
        <v>42579</v>
      </c>
      <c r="E1099" s="1" t="s">
        <v>18</v>
      </c>
      <c r="F1099" t="str">
        <f>HYPERLINK("http://www.sec.gov/Archives/edgar/data/1405663/0001472375-16-000395-index.html")</f>
        <v>http://www.sec.gov/Archives/edgar/data/1405663/0001472375-16-000395-index.html</v>
      </c>
    </row>
    <row r="1100" spans="1:6" x14ac:dyDescent="0.2">
      <c r="A1100" t="s">
        <v>605</v>
      </c>
      <c r="B1100" s="1">
        <v>1567802</v>
      </c>
      <c r="C1100" s="1">
        <v>1382</v>
      </c>
      <c r="D1100" s="2">
        <v>42579</v>
      </c>
      <c r="E1100" s="1" t="s">
        <v>42</v>
      </c>
      <c r="F1100" t="str">
        <f>HYPERLINK("http://www.sec.gov/Archives/edgar/data/1567802/0001165527-16-000831-index.html")</f>
        <v>http://www.sec.gov/Archives/edgar/data/1567802/0001165527-16-000831-index.html</v>
      </c>
    </row>
    <row r="1101" spans="1:6" x14ac:dyDescent="0.2">
      <c r="A1101" t="s">
        <v>1020</v>
      </c>
      <c r="B1101" s="1">
        <v>1610462</v>
      </c>
      <c r="C1101" s="1">
        <v>100</v>
      </c>
      <c r="D1101" s="2">
        <v>42579</v>
      </c>
      <c r="E1101" s="1" t="s">
        <v>42</v>
      </c>
      <c r="F1101" t="str">
        <f>HYPERLINK("http://www.sec.gov/Archives/edgar/data/1610462/0001554795-16-000766-index.html")</f>
        <v>http://www.sec.gov/Archives/edgar/data/1610462/0001554795-16-000766-index.html</v>
      </c>
    </row>
    <row r="1102" spans="1:6" x14ac:dyDescent="0.2">
      <c r="A1102" t="s">
        <v>929</v>
      </c>
      <c r="B1102" s="1">
        <v>715812</v>
      </c>
      <c r="C1102" s="1">
        <v>3829</v>
      </c>
      <c r="D1102" s="2">
        <v>42579</v>
      </c>
      <c r="E1102" s="1" t="s">
        <v>18</v>
      </c>
      <c r="F1102" t="str">
        <f>HYPERLINK("http://www.sec.gov/Archives/edgar/data/715812/0000715812-16-000006-index.html")</f>
        <v>http://www.sec.gov/Archives/edgar/data/715812/0000715812-16-000006-index.html</v>
      </c>
    </row>
    <row r="1103" spans="1:6" x14ac:dyDescent="0.2">
      <c r="A1103" t="s">
        <v>1021</v>
      </c>
      <c r="B1103" s="1">
        <v>789019</v>
      </c>
      <c r="C1103" s="1">
        <v>7372</v>
      </c>
      <c r="D1103" s="2">
        <v>42579</v>
      </c>
      <c r="E1103" s="1" t="s">
        <v>18</v>
      </c>
      <c r="F1103" t="str">
        <f>HYPERLINK("http://www.sec.gov/Archives/edgar/data/789019/0001193125-16-662209-index.html")</f>
        <v>http://www.sec.gov/Archives/edgar/data/789019/0001193125-16-662209-index.html</v>
      </c>
    </row>
    <row r="1104" spans="1:6" x14ac:dyDescent="0.2">
      <c r="A1104" t="s">
        <v>446</v>
      </c>
      <c r="B1104" s="1">
        <v>811222</v>
      </c>
      <c r="C1104" s="1">
        <v>5812</v>
      </c>
      <c r="D1104" s="2">
        <v>42579</v>
      </c>
      <c r="E1104" s="1" t="s">
        <v>18</v>
      </c>
      <c r="F1104" t="str">
        <f>HYPERLINK("http://www.sec.gov/Archives/edgar/data/811222/0001019687-16-007031-index.html")</f>
        <v>http://www.sec.gov/Archives/edgar/data/811222/0001019687-16-007031-index.html</v>
      </c>
    </row>
    <row r="1105" spans="1:6" x14ac:dyDescent="0.2">
      <c r="A1105" t="s">
        <v>1022</v>
      </c>
      <c r="B1105" s="1">
        <v>98338</v>
      </c>
      <c r="C1105" s="1">
        <v>7371</v>
      </c>
      <c r="D1105" s="2">
        <v>42579</v>
      </c>
      <c r="E1105" s="1" t="s">
        <v>18</v>
      </c>
      <c r="F1105" t="str">
        <f>HYPERLINK("http://www.sec.gov/Archives/edgar/data/98338/0001213900-16-015370-index.html")</f>
        <v>http://www.sec.gov/Archives/edgar/data/98338/0001213900-16-015370-index.html</v>
      </c>
    </row>
    <row r="1106" spans="1:6" x14ac:dyDescent="0.2">
      <c r="A1106" t="s">
        <v>1023</v>
      </c>
      <c r="B1106" s="1">
        <v>1002638</v>
      </c>
      <c r="C1106" s="1">
        <v>7373</v>
      </c>
      <c r="D1106" s="2">
        <v>42578</v>
      </c>
      <c r="E1106" s="1" t="s">
        <v>18</v>
      </c>
      <c r="F1106" t="str">
        <f>HYPERLINK("http://www.sec.gov/Archives/edgar/data/1002638/0001002638-16-000080-index.html")</f>
        <v>http://www.sec.gov/Archives/edgar/data/1002638/0001002638-16-000080-index.html</v>
      </c>
    </row>
    <row r="1107" spans="1:6" x14ac:dyDescent="0.2">
      <c r="A1107" t="s">
        <v>1024</v>
      </c>
      <c r="B1107" s="1">
        <v>1487198</v>
      </c>
      <c r="C1107" s="1">
        <v>8200</v>
      </c>
      <c r="D1107" s="2">
        <v>42578</v>
      </c>
      <c r="E1107" s="1" t="s">
        <v>18</v>
      </c>
      <c r="F1107" t="str">
        <f>HYPERLINK("http://www.sec.gov/Archives/edgar/data/1487198/0001553350-16-002268-index.html")</f>
        <v>http://www.sec.gov/Archives/edgar/data/1487198/0001553350-16-002268-index.html</v>
      </c>
    </row>
    <row r="1108" spans="1:6" x14ac:dyDescent="0.2">
      <c r="A1108" t="s">
        <v>1025</v>
      </c>
      <c r="B1108" s="1">
        <v>15847</v>
      </c>
      <c r="C1108" s="1">
        <v>7990</v>
      </c>
      <c r="D1108" s="2">
        <v>42578</v>
      </c>
      <c r="E1108" s="1" t="s">
        <v>18</v>
      </c>
      <c r="F1108" t="str">
        <f>HYPERLINK("http://www.sec.gov/Archives/edgar/data/15847/0000015847-16-000069-index.html")</f>
        <v>http://www.sec.gov/Archives/edgar/data/15847/0000015847-16-000069-index.html</v>
      </c>
    </row>
    <row r="1109" spans="1:6" x14ac:dyDescent="0.2">
      <c r="A1109" t="s">
        <v>1026</v>
      </c>
      <c r="B1109" s="1">
        <v>709283</v>
      </c>
      <c r="C1109" s="1">
        <v>3572</v>
      </c>
      <c r="D1109" s="2">
        <v>42578</v>
      </c>
      <c r="E1109" s="1" t="s">
        <v>42</v>
      </c>
      <c r="F1109" t="str">
        <f>HYPERLINK("http://www.sec.gov/Archives/edgar/data/709283/0001206774-16-006581-index.html")</f>
        <v>http://www.sec.gov/Archives/edgar/data/709283/0001206774-16-006581-index.html</v>
      </c>
    </row>
    <row r="1110" spans="1:6" x14ac:dyDescent="0.2">
      <c r="A1110" t="s">
        <v>1027</v>
      </c>
      <c r="B1110" s="1">
        <v>1635748</v>
      </c>
      <c r="C1110" s="1">
        <v>7374</v>
      </c>
      <c r="D1110" s="2">
        <v>42577</v>
      </c>
      <c r="E1110" s="1" t="s">
        <v>18</v>
      </c>
      <c r="F1110" t="str">
        <f>HYPERLINK("http://www.sec.gov/Archives/edgar/data/1635748/0001079974-16-001442-index.html")</f>
        <v>http://www.sec.gov/Archives/edgar/data/1635748/0001079974-16-001442-index.html</v>
      </c>
    </row>
    <row r="1111" spans="1:6" x14ac:dyDescent="0.2">
      <c r="A1111" t="s">
        <v>1028</v>
      </c>
      <c r="B1111" s="1">
        <v>66382</v>
      </c>
      <c r="C1111" s="1">
        <v>2520</v>
      </c>
      <c r="D1111" s="2">
        <v>42577</v>
      </c>
      <c r="E1111" s="1" t="s">
        <v>18</v>
      </c>
      <c r="F1111" t="str">
        <f>HYPERLINK("http://www.sec.gov/Archives/edgar/data/66382/0000066382-16-000082-index.html")</f>
        <v>http://www.sec.gov/Archives/edgar/data/66382/0000066382-16-000082-index.html</v>
      </c>
    </row>
    <row r="1112" spans="1:6" x14ac:dyDescent="0.2">
      <c r="A1112" t="s">
        <v>1029</v>
      </c>
      <c r="B1112" s="1">
        <v>866729</v>
      </c>
      <c r="C1112" s="1">
        <v>2731</v>
      </c>
      <c r="D1112" s="2">
        <v>42577</v>
      </c>
      <c r="E1112" s="1" t="s">
        <v>18</v>
      </c>
      <c r="F1112" t="str">
        <f>HYPERLINK("http://www.sec.gov/Archives/edgar/data/866729/0000866729-16-000030-index.html")</f>
        <v>http://www.sec.gov/Archives/edgar/data/866729/0000866729-16-000030-index.html</v>
      </c>
    </row>
    <row r="1113" spans="1:6" x14ac:dyDescent="0.2">
      <c r="A1113" t="s">
        <v>1030</v>
      </c>
      <c r="B1113" s="1">
        <v>1180079</v>
      </c>
      <c r="C1113" s="1">
        <v>3576</v>
      </c>
      <c r="D1113" s="2">
        <v>42576</v>
      </c>
      <c r="E1113" s="1" t="s">
        <v>42</v>
      </c>
      <c r="F1113" t="str">
        <f>HYPERLINK("http://www.sec.gov/Archives/edgar/data/1180079/0001564590-16-021365-index.html")</f>
        <v>http://www.sec.gov/Archives/edgar/data/1180079/0001564590-16-021365-index.html</v>
      </c>
    </row>
    <row r="1114" spans="1:6" x14ac:dyDescent="0.2">
      <c r="A1114" t="s">
        <v>1031</v>
      </c>
      <c r="B1114" s="1">
        <v>1368637</v>
      </c>
      <c r="C1114" s="1">
        <v>1311</v>
      </c>
      <c r="D1114" s="2">
        <v>42576</v>
      </c>
      <c r="E1114" s="1" t="s">
        <v>42</v>
      </c>
      <c r="F1114" t="str">
        <f>HYPERLINK("http://www.sec.gov/Archives/edgar/data/1368637/0001387131-16-006141-index.html")</f>
        <v>http://www.sec.gov/Archives/edgar/data/1368637/0001387131-16-006141-index.html</v>
      </c>
    </row>
    <row r="1115" spans="1:6" x14ac:dyDescent="0.2">
      <c r="A1115" t="s">
        <v>1032</v>
      </c>
      <c r="B1115" s="1">
        <v>1395400</v>
      </c>
      <c r="C1115" s="1">
        <v>2844</v>
      </c>
      <c r="D1115" s="2">
        <v>42576</v>
      </c>
      <c r="E1115" s="1" t="s">
        <v>18</v>
      </c>
      <c r="F1115" t="str">
        <f>HYPERLINK("http://www.sec.gov/Archives/edgar/data/1395400/0001493152-16-011721-index.html")</f>
        <v>http://www.sec.gov/Archives/edgar/data/1395400/0001493152-16-011721-index.html</v>
      </c>
    </row>
    <row r="1116" spans="1:6" x14ac:dyDescent="0.2">
      <c r="A1116" t="s">
        <v>1033</v>
      </c>
      <c r="B1116" s="1">
        <v>1605997</v>
      </c>
      <c r="C1116" s="1">
        <v>3510</v>
      </c>
      <c r="D1116" s="2">
        <v>42576</v>
      </c>
      <c r="E1116" s="1" t="s">
        <v>18</v>
      </c>
      <c r="F1116" t="str">
        <f>HYPERLINK("http://www.sec.gov/Archives/edgar/data/1605997/0001193125-16-656695-index.html")</f>
        <v>http://www.sec.gov/Archives/edgar/data/1605997/0001193125-16-656695-index.html</v>
      </c>
    </row>
    <row r="1117" spans="1:6" x14ac:dyDescent="0.2">
      <c r="A1117" t="s">
        <v>1034</v>
      </c>
      <c r="B1117" s="1">
        <v>1639327</v>
      </c>
      <c r="C1117" s="1">
        <v>7363</v>
      </c>
      <c r="D1117" s="2">
        <v>42576</v>
      </c>
      <c r="E1117" s="1" t="s">
        <v>18</v>
      </c>
      <c r="F1117" t="str">
        <f>HYPERLINK("http://www.sec.gov/Archives/edgar/data/1639327/0001213900-16-015203-index.html")</f>
        <v>http://www.sec.gov/Archives/edgar/data/1639327/0001213900-16-015203-index.html</v>
      </c>
    </row>
    <row r="1118" spans="1:6" x14ac:dyDescent="0.2">
      <c r="A1118" t="s">
        <v>1035</v>
      </c>
      <c r="B1118" s="1">
        <v>940944</v>
      </c>
      <c r="C1118" s="1">
        <v>5812</v>
      </c>
      <c r="D1118" s="2">
        <v>42576</v>
      </c>
      <c r="E1118" s="1" t="s">
        <v>18</v>
      </c>
      <c r="F1118" t="str">
        <f>HYPERLINK("http://www.sec.gov/Archives/edgar/data/940944/0000940944-16-000116-index.html")</f>
        <v>http://www.sec.gov/Archives/edgar/data/940944/0000940944-16-000116-index.html</v>
      </c>
    </row>
    <row r="1119" spans="1:6" x14ac:dyDescent="0.2">
      <c r="A1119" t="s">
        <v>1036</v>
      </c>
      <c r="B1119" s="1">
        <v>1378140</v>
      </c>
      <c r="C1119" s="1">
        <v>4911</v>
      </c>
      <c r="D1119" s="2">
        <v>42573</v>
      </c>
      <c r="E1119" s="1" t="s">
        <v>42</v>
      </c>
      <c r="F1119" t="str">
        <f>HYPERLINK("http://www.sec.gov/Archives/edgar/data/1378140/0001437749-16-035500-index.html")</f>
        <v>http://www.sec.gov/Archives/edgar/data/1378140/0001437749-16-035500-index.html</v>
      </c>
    </row>
    <row r="1120" spans="1:6" x14ac:dyDescent="0.2">
      <c r="A1120" t="s">
        <v>1037</v>
      </c>
      <c r="B1120" s="1">
        <v>1403792</v>
      </c>
      <c r="C1120" s="1">
        <v>6770</v>
      </c>
      <c r="D1120" s="2">
        <v>42573</v>
      </c>
      <c r="E1120" s="1" t="s">
        <v>18</v>
      </c>
      <c r="F1120" t="str">
        <f>HYPERLINK("http://www.sec.gov/Archives/edgar/data/1403792/0001376474-16-000785-index.html")</f>
        <v>http://www.sec.gov/Archives/edgar/data/1403792/0001376474-16-000785-index.html</v>
      </c>
    </row>
    <row r="1121" spans="1:6" x14ac:dyDescent="0.2">
      <c r="A1121" t="s">
        <v>683</v>
      </c>
      <c r="B1121" s="1">
        <v>1445815</v>
      </c>
      <c r="C1121" s="1">
        <v>5150</v>
      </c>
      <c r="D1121" s="2">
        <v>42573</v>
      </c>
      <c r="E1121" s="1" t="s">
        <v>18</v>
      </c>
      <c r="F1121" t="str">
        <f>HYPERLINK("http://www.sec.gov/Archives/edgar/data/1445815/0001213900-16-015178-index.html")</f>
        <v>http://www.sec.gov/Archives/edgar/data/1445815/0001213900-16-015178-index.html</v>
      </c>
    </row>
    <row r="1122" spans="1:6" x14ac:dyDescent="0.2">
      <c r="A1122" t="s">
        <v>1038</v>
      </c>
      <c r="B1122" s="1">
        <v>1580262</v>
      </c>
      <c r="C1122" s="1">
        <v>7374</v>
      </c>
      <c r="D1122" s="2">
        <v>42573</v>
      </c>
      <c r="E1122" s="1" t="s">
        <v>18</v>
      </c>
      <c r="F1122" t="str">
        <f>HYPERLINK("http://www.sec.gov/Archives/edgar/data/1580262/0001477932-16-011499-index.html")</f>
        <v>http://www.sec.gov/Archives/edgar/data/1580262/0001477932-16-011499-index.html</v>
      </c>
    </row>
    <row r="1123" spans="1:6" x14ac:dyDescent="0.2">
      <c r="A1123" t="s">
        <v>1039</v>
      </c>
      <c r="B1123" s="1">
        <v>225211</v>
      </c>
      <c r="C1123" s="1">
        <v>3661</v>
      </c>
      <c r="D1123" s="2">
        <v>42573</v>
      </c>
      <c r="E1123" s="1" t="s">
        <v>42</v>
      </c>
      <c r="F1123" t="str">
        <f>HYPERLINK("http://www.sec.gov/Archives/edgar/data/225211/0001615774-16-006400-index.html")</f>
        <v>http://www.sec.gov/Archives/edgar/data/225211/0001615774-16-006400-index.html</v>
      </c>
    </row>
    <row r="1124" spans="1:6" x14ac:dyDescent="0.2">
      <c r="A1124" t="s">
        <v>1040</v>
      </c>
      <c r="B1124" s="1">
        <v>723531</v>
      </c>
      <c r="C1124" s="1">
        <v>8700</v>
      </c>
      <c r="D1124" s="2">
        <v>42573</v>
      </c>
      <c r="E1124" s="1" t="s">
        <v>18</v>
      </c>
      <c r="F1124" t="str">
        <f>HYPERLINK("http://www.sec.gov/Archives/edgar/data/723531/0000723531-16-000046-index.html")</f>
        <v>http://www.sec.gov/Archives/edgar/data/723531/0000723531-16-000046-index.html</v>
      </c>
    </row>
    <row r="1125" spans="1:6" x14ac:dyDescent="0.2">
      <c r="A1125" t="s">
        <v>1041</v>
      </c>
      <c r="B1125" s="1">
        <v>1058057</v>
      </c>
      <c r="C1125" s="1">
        <v>3674</v>
      </c>
      <c r="D1125" s="2">
        <v>42572</v>
      </c>
      <c r="E1125" s="1" t="s">
        <v>18</v>
      </c>
      <c r="F1125" t="str">
        <f>HYPERLINK("http://www.sec.gov/Archives/edgar/data/1058057/0001193125-16-653778-index.html")</f>
        <v>http://www.sec.gov/Archives/edgar/data/1058057/0001193125-16-653778-index.html</v>
      </c>
    </row>
    <row r="1126" spans="1:6" x14ac:dyDescent="0.2">
      <c r="A1126" t="s">
        <v>1042</v>
      </c>
      <c r="B1126" s="1">
        <v>1437822</v>
      </c>
      <c r="C1126" s="1">
        <v>3841</v>
      </c>
      <c r="D1126" s="2">
        <v>42572</v>
      </c>
      <c r="E1126" s="1" t="s">
        <v>18</v>
      </c>
      <c r="F1126" t="str">
        <f>HYPERLINK("http://www.sec.gov/Archives/edgar/data/1437822/0001213900-16-015147-index.html")</f>
        <v>http://www.sec.gov/Archives/edgar/data/1437822/0001213900-16-015147-index.html</v>
      </c>
    </row>
    <row r="1127" spans="1:6" x14ac:dyDescent="0.2">
      <c r="A1127" t="s">
        <v>1043</v>
      </c>
      <c r="B1127" s="1">
        <v>1440517</v>
      </c>
      <c r="C1127" s="1">
        <v>200</v>
      </c>
      <c r="D1127" s="2">
        <v>42572</v>
      </c>
      <c r="E1127" s="1" t="s">
        <v>18</v>
      </c>
      <c r="F1127" t="str">
        <f>HYPERLINK("http://www.sec.gov/Archives/edgar/data/1440517/0001477932-16-011485-index.html")</f>
        <v>http://www.sec.gov/Archives/edgar/data/1440517/0001477932-16-011485-index.html</v>
      </c>
    </row>
    <row r="1128" spans="1:6" x14ac:dyDescent="0.2">
      <c r="A1128" t="s">
        <v>1044</v>
      </c>
      <c r="B1128" s="1">
        <v>1632323</v>
      </c>
      <c r="C1128" s="1">
        <v>2100</v>
      </c>
      <c r="D1128" s="2">
        <v>42572</v>
      </c>
      <c r="E1128" s="1" t="s">
        <v>42</v>
      </c>
      <c r="F1128" t="str">
        <f>HYPERLINK("http://www.sec.gov/Archives/edgar/data/1632323/0001615774-16-006387-index.html")</f>
        <v>http://www.sec.gov/Archives/edgar/data/1632323/0001615774-16-006387-index.html</v>
      </c>
    </row>
    <row r="1129" spans="1:6" x14ac:dyDescent="0.2">
      <c r="A1129" t="s">
        <v>1045</v>
      </c>
      <c r="B1129" s="1">
        <v>320187</v>
      </c>
      <c r="C1129" s="1">
        <v>3021</v>
      </c>
      <c r="D1129" s="2">
        <v>42572</v>
      </c>
      <c r="E1129" s="1" t="s">
        <v>18</v>
      </c>
      <c r="F1129" t="str">
        <f>HYPERLINK("http://www.sec.gov/Archives/edgar/data/320187/0000320187-16-000336-index.html")</f>
        <v>http://www.sec.gov/Archives/edgar/data/320187/0000320187-16-000336-index.html</v>
      </c>
    </row>
    <row r="1130" spans="1:6" x14ac:dyDescent="0.2">
      <c r="A1130" t="s">
        <v>1046</v>
      </c>
      <c r="B1130" s="1">
        <v>55529</v>
      </c>
      <c r="C1130" s="1">
        <v>3821</v>
      </c>
      <c r="D1130" s="2">
        <v>42572</v>
      </c>
      <c r="E1130" s="1" t="s">
        <v>18</v>
      </c>
      <c r="F1130" t="str">
        <f>HYPERLINK("http://www.sec.gov/Archives/edgar/data/55529/0001193125-16-653120-index.html")</f>
        <v>http://www.sec.gov/Archives/edgar/data/55529/0001193125-16-653120-index.html</v>
      </c>
    </row>
    <row r="1131" spans="1:6" x14ac:dyDescent="0.2">
      <c r="A1131" t="s">
        <v>1047</v>
      </c>
      <c r="B1131" s="1">
        <v>710782</v>
      </c>
      <c r="C1131" s="1">
        <v>6770</v>
      </c>
      <c r="D1131" s="2">
        <v>42572</v>
      </c>
      <c r="E1131" s="1" t="s">
        <v>18</v>
      </c>
      <c r="F1131" t="str">
        <f>HYPERLINK("http://www.sec.gov/Archives/edgar/data/710782/0001078782-16-003131-index.html")</f>
        <v>http://www.sec.gov/Archives/edgar/data/710782/0001078782-16-003131-index.html</v>
      </c>
    </row>
    <row r="1132" spans="1:6" x14ac:dyDescent="0.2">
      <c r="A1132" t="s">
        <v>1048</v>
      </c>
      <c r="B1132" s="1">
        <v>1384135</v>
      </c>
      <c r="C1132" s="1">
        <v>3433</v>
      </c>
      <c r="D1132" s="2">
        <v>42571</v>
      </c>
      <c r="E1132" s="1" t="s">
        <v>18</v>
      </c>
      <c r="F1132" t="str">
        <f>HYPERLINK("http://www.sec.gov/Archives/edgar/data/1384135/0001185185-16-005002-index.html")</f>
        <v>http://www.sec.gov/Archives/edgar/data/1384135/0001185185-16-005002-index.html</v>
      </c>
    </row>
    <row r="1133" spans="1:6" x14ac:dyDescent="0.2">
      <c r="A1133" t="s">
        <v>1049</v>
      </c>
      <c r="B1133" s="1">
        <v>1583648</v>
      </c>
      <c r="C1133" s="1">
        <v>8731</v>
      </c>
      <c r="D1133" s="2">
        <v>42571</v>
      </c>
      <c r="E1133" s="1" t="s">
        <v>42</v>
      </c>
      <c r="F1133" t="str">
        <f>HYPERLINK("http://www.sec.gov/Archives/edgar/data/1583648/0001193125-16-651834-index.html")</f>
        <v>http://www.sec.gov/Archives/edgar/data/1583648/0001193125-16-651834-index.html</v>
      </c>
    </row>
    <row r="1134" spans="1:6" x14ac:dyDescent="0.2">
      <c r="A1134" t="s">
        <v>1050</v>
      </c>
      <c r="B1134" s="1">
        <v>1175680</v>
      </c>
      <c r="C1134" s="1">
        <v>2834</v>
      </c>
      <c r="D1134" s="2">
        <v>42570</v>
      </c>
      <c r="E1134" s="1" t="s">
        <v>18</v>
      </c>
      <c r="F1134" t="str">
        <f>HYPERLINK("http://www.sec.gov/Archives/edgar/data/1175680/0001193125-16-651305-index.html")</f>
        <v>http://www.sec.gov/Archives/edgar/data/1175680/0001193125-16-651305-index.html</v>
      </c>
    </row>
    <row r="1135" spans="1:6" x14ac:dyDescent="0.2">
      <c r="A1135" t="s">
        <v>1051</v>
      </c>
      <c r="B1135" s="1">
        <v>1439299</v>
      </c>
      <c r="C1135" s="1">
        <v>5140</v>
      </c>
      <c r="D1135" s="2">
        <v>42570</v>
      </c>
      <c r="E1135" s="1" t="s">
        <v>42</v>
      </c>
      <c r="F1135" t="str">
        <f>HYPERLINK("http://www.sec.gov/Archives/edgar/data/1439299/0001213900-16-015082-index.html")</f>
        <v>http://www.sec.gov/Archives/edgar/data/1439299/0001213900-16-015082-index.html</v>
      </c>
    </row>
    <row r="1136" spans="1:6" x14ac:dyDescent="0.2">
      <c r="A1136" t="s">
        <v>1052</v>
      </c>
      <c r="B1136" s="1">
        <v>1491419</v>
      </c>
      <c r="C1136" s="1">
        <v>5812</v>
      </c>
      <c r="D1136" s="2">
        <v>42570</v>
      </c>
      <c r="E1136" s="1" t="s">
        <v>18</v>
      </c>
      <c r="F1136" t="str">
        <f>HYPERLINK("http://www.sec.gov/Archives/edgar/data/1491419/0001615774-16-006370-index.html")</f>
        <v>http://www.sec.gov/Archives/edgar/data/1491419/0001615774-16-006370-index.html</v>
      </c>
    </row>
    <row r="1137" spans="1:6" x14ac:dyDescent="0.2">
      <c r="A1137" t="s">
        <v>1053</v>
      </c>
      <c r="B1137" s="1">
        <v>1527795</v>
      </c>
      <c r="C1137" s="1">
        <v>3663</v>
      </c>
      <c r="D1137" s="2">
        <v>42570</v>
      </c>
      <c r="E1137" s="1" t="s">
        <v>18</v>
      </c>
      <c r="F1137" t="str">
        <f>HYPERLINK("http://www.sec.gov/Archives/edgar/data/1527795/0000939798-16-000134-index.html")</f>
        <v>http://www.sec.gov/Archives/edgar/data/1527795/0000939798-16-000134-index.html</v>
      </c>
    </row>
    <row r="1138" spans="1:6" x14ac:dyDescent="0.2">
      <c r="A1138" t="s">
        <v>1054</v>
      </c>
      <c r="B1138" s="1">
        <v>1542624</v>
      </c>
      <c r="C1138" s="1">
        <v>6770</v>
      </c>
      <c r="D1138" s="2">
        <v>42570</v>
      </c>
      <c r="E1138" s="1" t="s">
        <v>18</v>
      </c>
      <c r="F1138" t="str">
        <f>HYPERLINK("http://www.sec.gov/Archives/edgar/data/1542624/0001079974-16-001426-index.html")</f>
        <v>http://www.sec.gov/Archives/edgar/data/1542624/0001079974-16-001426-index.html</v>
      </c>
    </row>
    <row r="1139" spans="1:6" x14ac:dyDescent="0.2">
      <c r="A1139" t="s">
        <v>1054</v>
      </c>
      <c r="B1139" s="1">
        <v>1542624</v>
      </c>
      <c r="C1139" s="1">
        <v>6770</v>
      </c>
      <c r="D1139" s="2">
        <v>42570</v>
      </c>
      <c r="E1139" s="1" t="s">
        <v>18</v>
      </c>
      <c r="F1139" t="str">
        <f>HYPERLINK("http://www.sec.gov/Archives/edgar/data/1542624/0001079974-16-001430-index.html")</f>
        <v>http://www.sec.gov/Archives/edgar/data/1542624/0001079974-16-001430-index.html</v>
      </c>
    </row>
    <row r="1140" spans="1:6" x14ac:dyDescent="0.2">
      <c r="A1140" t="s">
        <v>1055</v>
      </c>
      <c r="B1140" s="1">
        <v>1662645</v>
      </c>
      <c r="C1140" s="1">
        <v>6770</v>
      </c>
      <c r="D1140" s="2">
        <v>42570</v>
      </c>
      <c r="E1140" s="1" t="s">
        <v>18</v>
      </c>
      <c r="F1140" t="str">
        <f>HYPERLINK("http://www.sec.gov/Archives/edgar/data/1662645/0001021432-16-001397-index.html")</f>
        <v>http://www.sec.gov/Archives/edgar/data/1662645/0001021432-16-001397-index.html</v>
      </c>
    </row>
    <row r="1141" spans="1:6" x14ac:dyDescent="0.2">
      <c r="A1141" t="s">
        <v>1056</v>
      </c>
      <c r="B1141" s="1">
        <v>1662669</v>
      </c>
      <c r="C1141" s="1">
        <v>6770</v>
      </c>
      <c r="D1141" s="2">
        <v>42570</v>
      </c>
      <c r="E1141" s="1" t="s">
        <v>18</v>
      </c>
      <c r="F1141" t="str">
        <f>HYPERLINK("http://www.sec.gov/Archives/edgar/data/1662669/0001021432-16-001398-index.html")</f>
        <v>http://www.sec.gov/Archives/edgar/data/1662669/0001021432-16-001398-index.html</v>
      </c>
    </row>
    <row r="1142" spans="1:6" x14ac:dyDescent="0.2">
      <c r="A1142" t="s">
        <v>1057</v>
      </c>
      <c r="B1142" s="1">
        <v>1662671</v>
      </c>
      <c r="C1142" s="1">
        <v>6770</v>
      </c>
      <c r="D1142" s="2">
        <v>42570</v>
      </c>
      <c r="E1142" s="1" t="s">
        <v>18</v>
      </c>
      <c r="F1142" t="str">
        <f>HYPERLINK("http://www.sec.gov/Archives/edgar/data/1662671/0001021432-16-001400-index.html")</f>
        <v>http://www.sec.gov/Archives/edgar/data/1662671/0001021432-16-001400-index.html</v>
      </c>
    </row>
    <row r="1143" spans="1:6" x14ac:dyDescent="0.2">
      <c r="A1143" t="s">
        <v>1058</v>
      </c>
      <c r="B1143" s="1">
        <v>1662672</v>
      </c>
      <c r="C1143" s="1">
        <v>6770</v>
      </c>
      <c r="D1143" s="2">
        <v>42570</v>
      </c>
      <c r="E1143" s="1" t="s">
        <v>18</v>
      </c>
      <c r="F1143" t="str">
        <f>HYPERLINK("http://www.sec.gov/Archives/edgar/data/1662672/0001021432-16-001399-index.html")</f>
        <v>http://www.sec.gov/Archives/edgar/data/1662672/0001021432-16-001399-index.html</v>
      </c>
    </row>
    <row r="1144" spans="1:6" x14ac:dyDescent="0.2">
      <c r="A1144" t="s">
        <v>1059</v>
      </c>
      <c r="B1144" s="1">
        <v>1048911</v>
      </c>
      <c r="C1144" s="1">
        <v>4513</v>
      </c>
      <c r="D1144" s="2">
        <v>42569</v>
      </c>
      <c r="E1144" s="1" t="s">
        <v>18</v>
      </c>
      <c r="F1144" t="str">
        <f>HYPERLINK("http://www.sec.gov/Archives/edgar/data/1048911/0001193125-16-650267-index.html")</f>
        <v>http://www.sec.gov/Archives/edgar/data/1048911/0001193125-16-650267-index.html</v>
      </c>
    </row>
    <row r="1145" spans="1:6" x14ac:dyDescent="0.2">
      <c r="A1145" t="s">
        <v>1060</v>
      </c>
      <c r="B1145" s="1">
        <v>1096934</v>
      </c>
      <c r="C1145" s="1">
        <v>7374</v>
      </c>
      <c r="D1145" s="2">
        <v>42569</v>
      </c>
      <c r="E1145" s="1" t="s">
        <v>18</v>
      </c>
      <c r="F1145" t="str">
        <f>HYPERLINK("http://www.sec.gov/Archives/edgar/data/1096934/0000721748-16-001455-index.html")</f>
        <v>http://www.sec.gov/Archives/edgar/data/1096934/0000721748-16-001455-index.html</v>
      </c>
    </row>
    <row r="1146" spans="1:6" x14ac:dyDescent="0.2">
      <c r="A1146" t="s">
        <v>1061</v>
      </c>
      <c r="B1146" s="1">
        <v>1321228</v>
      </c>
      <c r="C1146" s="1">
        <v>6513</v>
      </c>
      <c r="D1146" s="2">
        <v>42569</v>
      </c>
      <c r="E1146" s="1" t="s">
        <v>18</v>
      </c>
      <c r="F1146" t="str">
        <f>HYPERLINK("http://www.sec.gov/Archives/edgar/data/1321228/0001354488-16-008083-index.html")</f>
        <v>http://www.sec.gov/Archives/edgar/data/1321228/0001354488-16-008083-index.html</v>
      </c>
    </row>
    <row r="1147" spans="1:6" x14ac:dyDescent="0.2">
      <c r="A1147" t="s">
        <v>1062</v>
      </c>
      <c r="B1147" s="1">
        <v>1575975</v>
      </c>
      <c r="C1147" s="1">
        <v>1000</v>
      </c>
      <c r="D1147" s="2">
        <v>42569</v>
      </c>
      <c r="E1147" s="1" t="s">
        <v>18</v>
      </c>
      <c r="F1147" t="str">
        <f>HYPERLINK("http://www.sec.gov/Archives/edgar/data/1575975/0001477932-16-011431-index.html")</f>
        <v>http://www.sec.gov/Archives/edgar/data/1575975/0001477932-16-011431-index.html</v>
      </c>
    </row>
    <row r="1148" spans="1:6" x14ac:dyDescent="0.2">
      <c r="A1148" t="s">
        <v>1063</v>
      </c>
      <c r="B1148" s="1">
        <v>16160</v>
      </c>
      <c r="C1148" s="1">
        <v>200</v>
      </c>
      <c r="D1148" s="2">
        <v>42569</v>
      </c>
      <c r="E1148" s="1" t="s">
        <v>18</v>
      </c>
      <c r="F1148" t="str">
        <f>HYPERLINK("http://www.sec.gov/Archives/edgar/data/16160/0000016160-16-000061-index.html")</f>
        <v>http://www.sec.gov/Archives/edgar/data/16160/0000016160-16-000061-index.html</v>
      </c>
    </row>
    <row r="1149" spans="1:6" x14ac:dyDescent="0.2">
      <c r="A1149" t="s">
        <v>1064</v>
      </c>
      <c r="B1149" s="1">
        <v>1099215</v>
      </c>
      <c r="C1149" s="1">
        <v>8731</v>
      </c>
      <c r="D1149" s="2">
        <v>42566</v>
      </c>
      <c r="E1149" s="1" t="s">
        <v>18</v>
      </c>
      <c r="F1149" t="str">
        <f>HYPERLINK("http://www.sec.gov/Archives/edgar/data/1099215/0001144204-16-113158-index.html")</f>
        <v>http://www.sec.gov/Archives/edgar/data/1099215/0001144204-16-113158-index.html</v>
      </c>
    </row>
    <row r="1150" spans="1:6" x14ac:dyDescent="0.2">
      <c r="A1150" t="s">
        <v>1036</v>
      </c>
      <c r="B1150" s="1">
        <v>1378140</v>
      </c>
      <c r="C1150" s="1">
        <v>4911</v>
      </c>
      <c r="D1150" s="2">
        <v>42566</v>
      </c>
      <c r="E1150" s="1" t="s">
        <v>18</v>
      </c>
      <c r="F1150" t="str">
        <f>HYPERLINK("http://www.sec.gov/Archives/edgar/data/1378140/0001437749-16-035299-index.html")</f>
        <v>http://www.sec.gov/Archives/edgar/data/1378140/0001437749-16-035299-index.html</v>
      </c>
    </row>
    <row r="1151" spans="1:6" x14ac:dyDescent="0.2">
      <c r="A1151" t="s">
        <v>1065</v>
      </c>
      <c r="B1151" s="1">
        <v>1504464</v>
      </c>
      <c r="C1151" s="1">
        <v>5961</v>
      </c>
      <c r="D1151" s="2">
        <v>42566</v>
      </c>
      <c r="E1151" s="1" t="s">
        <v>18</v>
      </c>
      <c r="F1151" t="str">
        <f>HYPERLINK("http://www.sec.gov/Archives/edgar/data/1504464/0001078782-16-003112-index.html")</f>
        <v>http://www.sec.gov/Archives/edgar/data/1504464/0001078782-16-003112-index.html</v>
      </c>
    </row>
    <row r="1152" spans="1:6" x14ac:dyDescent="0.2">
      <c r="A1152" t="s">
        <v>1066</v>
      </c>
      <c r="B1152" s="1">
        <v>1517401</v>
      </c>
      <c r="C1152" s="1">
        <v>7011</v>
      </c>
      <c r="D1152" s="2">
        <v>42566</v>
      </c>
      <c r="E1152" s="1" t="s">
        <v>18</v>
      </c>
      <c r="F1152" t="str">
        <f>HYPERLINK("http://www.sec.gov/Archives/edgar/data/1517401/0001517401-16-000072-index.html")</f>
        <v>http://www.sec.gov/Archives/edgar/data/1517401/0001517401-16-000072-index.html</v>
      </c>
    </row>
    <row r="1153" spans="1:6" x14ac:dyDescent="0.2">
      <c r="A1153" t="s">
        <v>1067</v>
      </c>
      <c r="B1153" s="1">
        <v>1518380</v>
      </c>
      <c r="C1153" s="1">
        <v>1040</v>
      </c>
      <c r="D1153" s="2">
        <v>42566</v>
      </c>
      <c r="E1153" s="1" t="s">
        <v>18</v>
      </c>
      <c r="F1153" t="str">
        <f>HYPERLINK("http://www.sec.gov/Archives/edgar/data/1518380/0001477932-16-011381-index.html")</f>
        <v>http://www.sec.gov/Archives/edgar/data/1518380/0001477932-16-011381-index.html</v>
      </c>
    </row>
    <row r="1154" spans="1:6" x14ac:dyDescent="0.2">
      <c r="A1154" t="s">
        <v>1068</v>
      </c>
      <c r="B1154" s="1">
        <v>1586300</v>
      </c>
      <c r="C1154" s="1">
        <v>4522</v>
      </c>
      <c r="D1154" s="2">
        <v>42566</v>
      </c>
      <c r="E1154" s="1" t="s">
        <v>18</v>
      </c>
      <c r="F1154" t="str">
        <f>HYPERLINK("http://www.sec.gov/Archives/edgar/data/1586300/0001628280-16-017619-index.html")</f>
        <v>http://www.sec.gov/Archives/edgar/data/1586300/0001628280-16-017619-index.html</v>
      </c>
    </row>
    <row r="1155" spans="1:6" x14ac:dyDescent="0.2">
      <c r="A1155" t="s">
        <v>1069</v>
      </c>
      <c r="B1155" s="1">
        <v>1662675</v>
      </c>
      <c r="C1155" s="1">
        <v>6770</v>
      </c>
      <c r="D1155" s="2">
        <v>42566</v>
      </c>
      <c r="E1155" s="1" t="s">
        <v>18</v>
      </c>
      <c r="F1155" t="str">
        <f>HYPERLINK("http://www.sec.gov/Archives/edgar/data/1662675/0001021432-16-001396-index.html")</f>
        <v>http://www.sec.gov/Archives/edgar/data/1662675/0001021432-16-001396-index.html</v>
      </c>
    </row>
    <row r="1156" spans="1:6" x14ac:dyDescent="0.2">
      <c r="A1156" t="s">
        <v>1070</v>
      </c>
      <c r="B1156" s="1">
        <v>1662684</v>
      </c>
      <c r="C1156" s="1">
        <v>6770</v>
      </c>
      <c r="D1156" s="2">
        <v>42566</v>
      </c>
      <c r="E1156" s="1" t="s">
        <v>18</v>
      </c>
      <c r="F1156" t="str">
        <f>HYPERLINK("http://www.sec.gov/Archives/edgar/data/1662684/0001021432-16-001395-index.html")</f>
        <v>http://www.sec.gov/Archives/edgar/data/1662684/0001021432-16-001395-index.html</v>
      </c>
    </row>
    <row r="1157" spans="1:6" x14ac:dyDescent="0.2">
      <c r="A1157" t="s">
        <v>1071</v>
      </c>
      <c r="B1157" s="1">
        <v>23217</v>
      </c>
      <c r="C1157" s="1">
        <v>2000</v>
      </c>
      <c r="D1157" s="2">
        <v>42566</v>
      </c>
      <c r="E1157" s="1" t="s">
        <v>18</v>
      </c>
      <c r="F1157" t="str">
        <f>HYPERLINK("http://www.sec.gov/Archives/edgar/data/23217/0001628280-16-017613-index.html")</f>
        <v>http://www.sec.gov/Archives/edgar/data/23217/0001628280-16-017613-index.html</v>
      </c>
    </row>
    <row r="1158" spans="1:6" x14ac:dyDescent="0.2">
      <c r="A1158" t="s">
        <v>1072</v>
      </c>
      <c r="B1158" s="1">
        <v>717720</v>
      </c>
      <c r="C1158" s="1">
        <v>6282</v>
      </c>
      <c r="D1158" s="2">
        <v>42566</v>
      </c>
      <c r="E1158" s="1" t="s">
        <v>18</v>
      </c>
      <c r="F1158" t="str">
        <f>HYPERLINK("http://www.sec.gov/Archives/edgar/data/717720/0001437749-16-035289-index.html")</f>
        <v>http://www.sec.gov/Archives/edgar/data/717720/0001437749-16-035289-index.html</v>
      </c>
    </row>
    <row r="1159" spans="1:6" x14ac:dyDescent="0.2">
      <c r="A1159" t="s">
        <v>1073</v>
      </c>
      <c r="B1159" s="1">
        <v>723603</v>
      </c>
      <c r="C1159" s="1">
        <v>2211</v>
      </c>
      <c r="D1159" s="2">
        <v>42566</v>
      </c>
      <c r="E1159" s="1" t="s">
        <v>18</v>
      </c>
      <c r="F1159" t="str">
        <f>HYPERLINK("http://www.sec.gov/Archives/edgar/data/723603/0001157523-16-006084-index.html")</f>
        <v>http://www.sec.gov/Archives/edgar/data/723603/0001157523-16-006084-index.html</v>
      </c>
    </row>
    <row r="1160" spans="1:6" x14ac:dyDescent="0.2">
      <c r="A1160" t="s">
        <v>1074</v>
      </c>
      <c r="B1160" s="1">
        <v>1165320</v>
      </c>
      <c r="C1160" s="1">
        <v>1311</v>
      </c>
      <c r="D1160" s="2">
        <v>42565</v>
      </c>
      <c r="E1160" s="1" t="s">
        <v>18</v>
      </c>
      <c r="F1160" t="str">
        <f>HYPERLINK("http://www.sec.gov/Archives/edgar/data/1165320/0001445866-16-002362-index.html")</f>
        <v>http://www.sec.gov/Archives/edgar/data/1165320/0001445866-16-002362-index.html</v>
      </c>
    </row>
    <row r="1161" spans="1:6" x14ac:dyDescent="0.2">
      <c r="A1161" t="s">
        <v>1075</v>
      </c>
      <c r="B1161" s="1">
        <v>1173204</v>
      </c>
      <c r="C1161" s="1">
        <v>7841</v>
      </c>
      <c r="D1161" s="2">
        <v>42565</v>
      </c>
      <c r="E1161" s="1" t="s">
        <v>18</v>
      </c>
      <c r="F1161" t="str">
        <f>HYPERLINK("http://www.sec.gov/Archives/edgar/data/1173204/0001628280-16-017605-index.html")</f>
        <v>http://www.sec.gov/Archives/edgar/data/1173204/0001628280-16-017605-index.html</v>
      </c>
    </row>
    <row r="1162" spans="1:6" x14ac:dyDescent="0.2">
      <c r="A1162" t="s">
        <v>1076</v>
      </c>
      <c r="B1162" s="1">
        <v>1221554</v>
      </c>
      <c r="C1162" s="1">
        <v>3510</v>
      </c>
      <c r="D1162" s="2">
        <v>42565</v>
      </c>
      <c r="E1162" s="1" t="s">
        <v>18</v>
      </c>
      <c r="F1162" t="str">
        <f>HYPERLINK("http://www.sec.gov/Archives/edgar/data/1221554/0001144204-16-112910-index.html")</f>
        <v>http://www.sec.gov/Archives/edgar/data/1221554/0001144204-16-112910-index.html</v>
      </c>
    </row>
    <row r="1163" spans="1:6" x14ac:dyDescent="0.2">
      <c r="A1163" t="s">
        <v>1077</v>
      </c>
      <c r="B1163" s="1">
        <v>1236997</v>
      </c>
      <c r="C1163" s="1">
        <v>7372</v>
      </c>
      <c r="D1163" s="2">
        <v>42565</v>
      </c>
      <c r="E1163" s="1" t="s">
        <v>18</v>
      </c>
      <c r="F1163" t="str">
        <f>HYPERLINK("http://www.sec.gov/Archives/edgar/data/1236997/0001062993-16-010548-index.html")</f>
        <v>http://www.sec.gov/Archives/edgar/data/1236997/0001062993-16-010548-index.html</v>
      </c>
    </row>
    <row r="1164" spans="1:6" x14ac:dyDescent="0.2">
      <c r="A1164" t="s">
        <v>1078</v>
      </c>
      <c r="B1164" s="1">
        <v>1326205</v>
      </c>
      <c r="C1164" s="1">
        <v>5065</v>
      </c>
      <c r="D1164" s="2">
        <v>42565</v>
      </c>
      <c r="E1164" s="1" t="s">
        <v>18</v>
      </c>
      <c r="F1164" t="str">
        <f>HYPERLINK("http://www.sec.gov/Archives/edgar/data/1326205/0001185185-16-004982-index.html")</f>
        <v>http://www.sec.gov/Archives/edgar/data/1326205/0001185185-16-004982-index.html</v>
      </c>
    </row>
    <row r="1165" spans="1:6" x14ac:dyDescent="0.2">
      <c r="A1165" t="s">
        <v>1079</v>
      </c>
      <c r="B1165" s="1">
        <v>1465470</v>
      </c>
      <c r="C1165" s="1">
        <v>900</v>
      </c>
      <c r="D1165" s="2">
        <v>42565</v>
      </c>
      <c r="E1165" s="1" t="s">
        <v>18</v>
      </c>
      <c r="F1165" t="str">
        <f>HYPERLINK("http://www.sec.gov/Archives/edgar/data/1465470/0001354488-16-008067-index.html")</f>
        <v>http://www.sec.gov/Archives/edgar/data/1465470/0001354488-16-008067-index.html</v>
      </c>
    </row>
    <row r="1166" spans="1:6" x14ac:dyDescent="0.2">
      <c r="A1166" t="s">
        <v>1080</v>
      </c>
      <c r="B1166" s="1">
        <v>1488934</v>
      </c>
      <c r="C1166" s="1">
        <v>3290</v>
      </c>
      <c r="D1166" s="2">
        <v>42565</v>
      </c>
      <c r="E1166" s="1" t="s">
        <v>18</v>
      </c>
      <c r="F1166" t="str">
        <f>HYPERLINK("http://www.sec.gov/Archives/edgar/data/1488934/0001575872-16-000386-index.html")</f>
        <v>http://www.sec.gov/Archives/edgar/data/1488934/0001575872-16-000386-index.html</v>
      </c>
    </row>
    <row r="1167" spans="1:6" x14ac:dyDescent="0.2">
      <c r="A1167" t="s">
        <v>1081</v>
      </c>
      <c r="B1167" s="1">
        <v>1507181</v>
      </c>
      <c r="C1167" s="1">
        <v>3600</v>
      </c>
      <c r="D1167" s="2">
        <v>42565</v>
      </c>
      <c r="E1167" s="1" t="s">
        <v>18</v>
      </c>
      <c r="F1167" t="str">
        <f>HYPERLINK("http://www.sec.gov/Archives/edgar/data/1507181/0001554795-16-000754-index.html")</f>
        <v>http://www.sec.gov/Archives/edgar/data/1507181/0001554795-16-000754-index.html</v>
      </c>
    </row>
    <row r="1168" spans="1:6" x14ac:dyDescent="0.2">
      <c r="A1168" t="s">
        <v>1066</v>
      </c>
      <c r="B1168" s="1">
        <v>1517401</v>
      </c>
      <c r="C1168" s="1">
        <v>7011</v>
      </c>
      <c r="D1168" s="2">
        <v>42565</v>
      </c>
      <c r="E1168" s="1" t="s">
        <v>42</v>
      </c>
      <c r="F1168" t="str">
        <f>HYPERLINK("http://www.sec.gov/Archives/edgar/data/1517401/0001517401-16-000070-index.html")</f>
        <v>http://www.sec.gov/Archives/edgar/data/1517401/0001517401-16-000070-index.html</v>
      </c>
    </row>
    <row r="1169" spans="1:6" x14ac:dyDescent="0.2">
      <c r="A1169" t="s">
        <v>1082</v>
      </c>
      <c r="B1169" s="1">
        <v>1532390</v>
      </c>
      <c r="C1169" s="1">
        <v>5140</v>
      </c>
      <c r="D1169" s="2">
        <v>42565</v>
      </c>
      <c r="E1169" s="1" t="s">
        <v>18</v>
      </c>
      <c r="F1169" t="str">
        <f>HYPERLINK("http://www.sec.gov/Archives/edgar/data/1532390/0001062993-16-010562-index.html")</f>
        <v>http://www.sec.gov/Archives/edgar/data/1532390/0001062993-16-010562-index.html</v>
      </c>
    </row>
    <row r="1170" spans="1:6" x14ac:dyDescent="0.2">
      <c r="A1170" t="s">
        <v>1083</v>
      </c>
      <c r="B1170" s="1">
        <v>1550518</v>
      </c>
      <c r="C1170" s="1">
        <v>8741</v>
      </c>
      <c r="D1170" s="2">
        <v>42565</v>
      </c>
      <c r="E1170" s="1" t="s">
        <v>18</v>
      </c>
      <c r="F1170" t="str">
        <f>HYPERLINK("http://www.sec.gov/Archives/edgar/data/1550518/0001424884-16-000246-index.html")</f>
        <v>http://www.sec.gov/Archives/edgar/data/1550518/0001424884-16-000246-index.html</v>
      </c>
    </row>
    <row r="1171" spans="1:6" x14ac:dyDescent="0.2">
      <c r="A1171" t="s">
        <v>1084</v>
      </c>
      <c r="B1171" s="1">
        <v>1554923</v>
      </c>
      <c r="C1171" s="1">
        <v>6500</v>
      </c>
      <c r="D1171" s="2">
        <v>42565</v>
      </c>
      <c r="E1171" s="1" t="s">
        <v>18</v>
      </c>
      <c r="F1171" t="str">
        <f>HYPERLINK("http://www.sec.gov/Archives/edgar/data/1554923/0001520138-16-001056-index.html")</f>
        <v>http://www.sec.gov/Archives/edgar/data/1554923/0001520138-16-001056-index.html</v>
      </c>
    </row>
    <row r="1172" spans="1:6" x14ac:dyDescent="0.2">
      <c r="A1172" t="s">
        <v>1085</v>
      </c>
      <c r="B1172" s="1">
        <v>1560905</v>
      </c>
      <c r="C1172" s="1">
        <v>8711</v>
      </c>
      <c r="D1172" s="2">
        <v>42565</v>
      </c>
      <c r="E1172" s="1" t="s">
        <v>18</v>
      </c>
      <c r="F1172" t="str">
        <f>HYPERLINK("http://www.sec.gov/Archives/edgar/data/1560905/0001010412-16-000244-index.html")</f>
        <v>http://www.sec.gov/Archives/edgar/data/1560905/0001010412-16-000244-index.html</v>
      </c>
    </row>
    <row r="1173" spans="1:6" x14ac:dyDescent="0.2">
      <c r="A1173" t="s">
        <v>1086</v>
      </c>
      <c r="B1173" s="1">
        <v>1584057</v>
      </c>
      <c r="C1173" s="1">
        <v>5961</v>
      </c>
      <c r="D1173" s="2">
        <v>42565</v>
      </c>
      <c r="E1173" s="1" t="s">
        <v>18</v>
      </c>
      <c r="F1173" t="str">
        <f>HYPERLINK("http://www.sec.gov/Archives/edgar/data/1584057/0001096906-16-001748-index.html")</f>
        <v>http://www.sec.gov/Archives/edgar/data/1584057/0001096906-16-001748-index.html</v>
      </c>
    </row>
    <row r="1174" spans="1:6" x14ac:dyDescent="0.2">
      <c r="A1174" t="s">
        <v>1087</v>
      </c>
      <c r="B1174" s="1">
        <v>1585755</v>
      </c>
      <c r="C1174" s="1">
        <v>7900</v>
      </c>
      <c r="D1174" s="2">
        <v>42565</v>
      </c>
      <c r="E1174" s="1" t="s">
        <v>18</v>
      </c>
      <c r="F1174" t="str">
        <f>HYPERLINK("http://www.sec.gov/Archives/edgar/data/1585755/0001615774-16-006336-index.html")</f>
        <v>http://www.sec.gov/Archives/edgar/data/1585755/0001615774-16-006336-index.html</v>
      </c>
    </row>
    <row r="1175" spans="1:6" x14ac:dyDescent="0.2">
      <c r="A1175" t="s">
        <v>1088</v>
      </c>
      <c r="B1175" s="1">
        <v>1591768</v>
      </c>
      <c r="C1175" s="1">
        <v>7200</v>
      </c>
      <c r="D1175" s="2">
        <v>42565</v>
      </c>
      <c r="E1175" s="1" t="s">
        <v>18</v>
      </c>
      <c r="F1175" t="str">
        <f>HYPERLINK("http://www.sec.gov/Archives/edgar/data/1591768/0001607062-16-000903-index.html")</f>
        <v>http://www.sec.gov/Archives/edgar/data/1591768/0001607062-16-000903-index.html</v>
      </c>
    </row>
    <row r="1176" spans="1:6" x14ac:dyDescent="0.2">
      <c r="A1176" t="s">
        <v>1089</v>
      </c>
      <c r="B1176" s="1">
        <v>1647771</v>
      </c>
      <c r="C1176" s="1">
        <v>7389</v>
      </c>
      <c r="D1176" s="2">
        <v>42565</v>
      </c>
      <c r="E1176" s="1" t="s">
        <v>18</v>
      </c>
      <c r="F1176" t="str">
        <f>HYPERLINK("http://www.sec.gov/Archives/edgar/data/1647771/0001445866-16-002360-index.html")</f>
        <v>http://www.sec.gov/Archives/edgar/data/1647771/0001445866-16-002360-index.html</v>
      </c>
    </row>
    <row r="1177" spans="1:6" x14ac:dyDescent="0.2">
      <c r="A1177" t="s">
        <v>1090</v>
      </c>
      <c r="B1177" s="1">
        <v>69891</v>
      </c>
      <c r="C1177" s="1">
        <v>2086</v>
      </c>
      <c r="D1177" s="2">
        <v>42565</v>
      </c>
      <c r="E1177" s="1" t="s">
        <v>18</v>
      </c>
      <c r="F1177" t="str">
        <f>HYPERLINK("http://www.sec.gov/Archives/edgar/data/69891/0001437749-16-035243-index.html")</f>
        <v>http://www.sec.gov/Archives/edgar/data/69891/0001437749-16-035243-index.html</v>
      </c>
    </row>
    <row r="1178" spans="1:6" x14ac:dyDescent="0.2">
      <c r="A1178" t="s">
        <v>1091</v>
      </c>
      <c r="B1178" s="1">
        <v>704562</v>
      </c>
      <c r="C1178" s="1">
        <v>2834</v>
      </c>
      <c r="D1178" s="2">
        <v>42565</v>
      </c>
      <c r="E1178" s="1" t="s">
        <v>18</v>
      </c>
      <c r="F1178" t="str">
        <f>HYPERLINK("http://www.sec.gov/Archives/edgar/data/704562/0001019687-16-006937-index.html")</f>
        <v>http://www.sec.gov/Archives/edgar/data/704562/0001019687-16-006937-index.html</v>
      </c>
    </row>
    <row r="1179" spans="1:6" x14ac:dyDescent="0.2">
      <c r="A1179" t="s">
        <v>1092</v>
      </c>
      <c r="B1179" s="1">
        <v>713425</v>
      </c>
      <c r="C1179" s="1">
        <v>7372</v>
      </c>
      <c r="D1179" s="2">
        <v>42565</v>
      </c>
      <c r="E1179" s="1" t="s">
        <v>18</v>
      </c>
      <c r="F1179" t="str">
        <f>HYPERLINK("http://www.sec.gov/Archives/edgar/data/713425/0001193125-16-648270-index.html")</f>
        <v>http://www.sec.gov/Archives/edgar/data/713425/0001193125-16-648270-index.html</v>
      </c>
    </row>
    <row r="1180" spans="1:6" x14ac:dyDescent="0.2">
      <c r="A1180" t="s">
        <v>1093</v>
      </c>
      <c r="B1180" s="1">
        <v>862651</v>
      </c>
      <c r="C1180" s="1">
        <v>7389</v>
      </c>
      <c r="D1180" s="2">
        <v>42565</v>
      </c>
      <c r="E1180" s="1" t="s">
        <v>18</v>
      </c>
      <c r="F1180" t="str">
        <f>HYPERLINK("http://www.sec.gov/Archives/edgar/data/862651/0001144204-16-113022-index.html")</f>
        <v>http://www.sec.gov/Archives/edgar/data/862651/0001144204-16-113022-index.html</v>
      </c>
    </row>
    <row r="1181" spans="1:6" x14ac:dyDescent="0.2">
      <c r="A1181" t="s">
        <v>1094</v>
      </c>
      <c r="B1181" s="1">
        <v>924805</v>
      </c>
      <c r="C1181" s="1">
        <v>1311</v>
      </c>
      <c r="D1181" s="2">
        <v>42565</v>
      </c>
      <c r="E1181" s="1" t="s">
        <v>18</v>
      </c>
      <c r="F1181" t="str">
        <f>HYPERLINK("http://www.sec.gov/Archives/edgar/data/924805/0001038838-16-000272-index.html")</f>
        <v>http://www.sec.gov/Archives/edgar/data/924805/0001038838-16-000272-index.html</v>
      </c>
    </row>
    <row r="1182" spans="1:6" x14ac:dyDescent="0.2">
      <c r="A1182" t="s">
        <v>1095</v>
      </c>
      <c r="B1182" s="1">
        <v>925661</v>
      </c>
      <c r="C1182" s="1">
        <v>5090</v>
      </c>
      <c r="D1182" s="2">
        <v>42565</v>
      </c>
      <c r="E1182" s="1" t="s">
        <v>18</v>
      </c>
      <c r="F1182" t="str">
        <f>HYPERLINK("http://www.sec.gov/Archives/edgar/data/925661/0001096906-16-001746-index.html")</f>
        <v>http://www.sec.gov/Archives/edgar/data/925661/0001096906-16-001746-index.html</v>
      </c>
    </row>
    <row r="1183" spans="1:6" x14ac:dyDescent="0.2">
      <c r="A1183" t="s">
        <v>1096</v>
      </c>
      <c r="B1183" s="1">
        <v>1309082</v>
      </c>
      <c r="C1183" s="1">
        <v>1311</v>
      </c>
      <c r="D1183" s="2">
        <v>42564</v>
      </c>
      <c r="E1183" s="1" t="s">
        <v>18</v>
      </c>
      <c r="F1183" t="str">
        <f>HYPERLINK("http://www.sec.gov/Archives/edgar/data/1309082/0001580695-16-000544-index.html")</f>
        <v>http://www.sec.gov/Archives/edgar/data/1309082/0001580695-16-000544-index.html</v>
      </c>
    </row>
    <row r="1184" spans="1:6" x14ac:dyDescent="0.2">
      <c r="A1184" t="s">
        <v>1097</v>
      </c>
      <c r="B1184" s="1">
        <v>1438461</v>
      </c>
      <c r="C1184" s="1">
        <v>1090</v>
      </c>
      <c r="D1184" s="2">
        <v>42564</v>
      </c>
      <c r="E1184" s="1" t="s">
        <v>42</v>
      </c>
      <c r="F1184" t="str">
        <f>HYPERLINK("http://www.sec.gov/Archives/edgar/data/1438461/0001640334-16-001361-index.html")</f>
        <v>http://www.sec.gov/Archives/edgar/data/1438461/0001640334-16-001361-index.html</v>
      </c>
    </row>
    <row r="1185" spans="1:6" x14ac:dyDescent="0.2">
      <c r="A1185" t="s">
        <v>1097</v>
      </c>
      <c r="B1185" s="1">
        <v>1438461</v>
      </c>
      <c r="C1185" s="1">
        <v>1090</v>
      </c>
      <c r="D1185" s="2">
        <v>42564</v>
      </c>
      <c r="E1185" s="1" t="s">
        <v>18</v>
      </c>
      <c r="F1185" t="str">
        <f>HYPERLINK("http://www.sec.gov/Archives/edgar/data/1438461/0001640334-16-001374-index.html")</f>
        <v>http://www.sec.gov/Archives/edgar/data/1438461/0001640334-16-001374-index.html</v>
      </c>
    </row>
    <row r="1186" spans="1:6" x14ac:dyDescent="0.2">
      <c r="A1186" t="s">
        <v>1098</v>
      </c>
      <c r="B1186" s="1">
        <v>1450973</v>
      </c>
      <c r="C1186" s="1">
        <v>5990</v>
      </c>
      <c r="D1186" s="2">
        <v>42564</v>
      </c>
      <c r="E1186" s="1" t="s">
        <v>18</v>
      </c>
      <c r="F1186" t="str">
        <f>HYPERLINK("http://www.sec.gov/Archives/edgar/data/1450973/0001144204-16-112743-index.html")</f>
        <v>http://www.sec.gov/Archives/edgar/data/1450973/0001144204-16-112743-index.html</v>
      </c>
    </row>
    <row r="1187" spans="1:6" x14ac:dyDescent="0.2">
      <c r="A1187" t="s">
        <v>1099</v>
      </c>
      <c r="B1187" s="1">
        <v>1636300</v>
      </c>
      <c r="C1187" s="1">
        <v>7373</v>
      </c>
      <c r="D1187" s="2">
        <v>42564</v>
      </c>
      <c r="E1187" s="1" t="s">
        <v>18</v>
      </c>
      <c r="F1187" t="str">
        <f>HYPERLINK("http://www.sec.gov/Archives/edgar/data/1636300/0001387131-16-006042-index.html")</f>
        <v>http://www.sec.gov/Archives/edgar/data/1636300/0001387131-16-006042-index.html</v>
      </c>
    </row>
    <row r="1188" spans="1:6" x14ac:dyDescent="0.2">
      <c r="A1188" t="s">
        <v>1100</v>
      </c>
      <c r="B1188" s="1">
        <v>1642363</v>
      </c>
      <c r="C1188" s="1">
        <v>2844</v>
      </c>
      <c r="D1188" s="2">
        <v>42564</v>
      </c>
      <c r="E1188" s="1" t="s">
        <v>18</v>
      </c>
      <c r="F1188" t="str">
        <f>HYPERLINK("http://www.sec.gov/Archives/edgar/data/1642363/0001052918-16-001157-index.html")</f>
        <v>http://www.sec.gov/Archives/edgar/data/1642363/0001052918-16-001157-index.html</v>
      </c>
    </row>
    <row r="1189" spans="1:6" x14ac:dyDescent="0.2">
      <c r="A1189" t="s">
        <v>1101</v>
      </c>
      <c r="B1189" s="1">
        <v>1750</v>
      </c>
      <c r="C1189" s="1">
        <v>3720</v>
      </c>
      <c r="D1189" s="2">
        <v>42564</v>
      </c>
      <c r="E1189" s="1" t="s">
        <v>18</v>
      </c>
      <c r="F1189" t="str">
        <f>HYPERLINK("http://www.sec.gov/Archives/edgar/data/1750/0001047469-16-014299-index.html")</f>
        <v>http://www.sec.gov/Archives/edgar/data/1750/0001047469-16-014299-index.html</v>
      </c>
    </row>
    <row r="1190" spans="1:6" x14ac:dyDescent="0.2">
      <c r="A1190" t="s">
        <v>1102</v>
      </c>
      <c r="B1190" s="1">
        <v>849401</v>
      </c>
      <c r="C1190" s="1">
        <v>2891</v>
      </c>
      <c r="D1190" s="2">
        <v>42564</v>
      </c>
      <c r="E1190" s="1" t="s">
        <v>18</v>
      </c>
      <c r="F1190" t="str">
        <f>HYPERLINK("http://www.sec.gov/Archives/edgar/data/849401/0001437749-16-035183-index.html")</f>
        <v>http://www.sec.gov/Archives/edgar/data/849401/0001437749-16-035183-index.html</v>
      </c>
    </row>
    <row r="1191" spans="1:6" x14ac:dyDescent="0.2">
      <c r="A1191" t="s">
        <v>1103</v>
      </c>
      <c r="B1191" s="1">
        <v>1600438</v>
      </c>
      <c r="C1191" s="1">
        <v>5030</v>
      </c>
      <c r="D1191" s="2">
        <v>42563</v>
      </c>
      <c r="E1191" s="1" t="s">
        <v>18</v>
      </c>
      <c r="F1191" t="str">
        <f>HYPERLINK("http://www.sec.gov/Archives/edgar/data/1600438/0001047469-16-014281-index.html")</f>
        <v>http://www.sec.gov/Archives/edgar/data/1600438/0001047469-16-014281-index.html</v>
      </c>
    </row>
    <row r="1192" spans="1:6" x14ac:dyDescent="0.2">
      <c r="A1192" t="s">
        <v>1104</v>
      </c>
      <c r="B1192" s="1">
        <v>939930</v>
      </c>
      <c r="C1192" s="1">
        <v>5150</v>
      </c>
      <c r="D1192" s="2">
        <v>42563</v>
      </c>
      <c r="E1192" s="1" t="s">
        <v>18</v>
      </c>
      <c r="F1192" t="str">
        <f>HYPERLINK("http://www.sec.gov/Archives/edgar/data/939930/0000939930-16-000150-index.html")</f>
        <v>http://www.sec.gov/Archives/edgar/data/939930/0000939930-16-000150-index.html</v>
      </c>
    </row>
    <row r="1193" spans="1:6" x14ac:dyDescent="0.2">
      <c r="A1193" t="s">
        <v>1105</v>
      </c>
      <c r="B1193" s="1">
        <v>1382219</v>
      </c>
      <c r="C1193" s="1">
        <v>8742</v>
      </c>
      <c r="D1193" s="2">
        <v>42562</v>
      </c>
      <c r="E1193" s="1" t="s">
        <v>18</v>
      </c>
      <c r="F1193" t="str">
        <f>HYPERLINK("http://www.sec.gov/Archives/edgar/data/1382219/0001185185-16-004954-index.html")</f>
        <v>http://www.sec.gov/Archives/edgar/data/1382219/0001185185-16-004954-index.html</v>
      </c>
    </row>
    <row r="1194" spans="1:6" x14ac:dyDescent="0.2">
      <c r="A1194" t="s">
        <v>1097</v>
      </c>
      <c r="B1194" s="1">
        <v>1438461</v>
      </c>
      <c r="C1194" s="1">
        <v>1090</v>
      </c>
      <c r="D1194" s="2">
        <v>42562</v>
      </c>
      <c r="E1194" s="1" t="s">
        <v>18</v>
      </c>
      <c r="F1194" t="str">
        <f>HYPERLINK("http://www.sec.gov/Archives/edgar/data/1438461/0001640334-16-001348-index.html")</f>
        <v>http://www.sec.gov/Archives/edgar/data/1438461/0001640334-16-001348-index.html</v>
      </c>
    </row>
    <row r="1195" spans="1:6" x14ac:dyDescent="0.2">
      <c r="A1195" t="s">
        <v>1106</v>
      </c>
      <c r="B1195" s="1">
        <v>1440799</v>
      </c>
      <c r="C1195" s="1">
        <v>7819</v>
      </c>
      <c r="D1195" s="2">
        <v>42562</v>
      </c>
      <c r="E1195" s="1" t="s">
        <v>18</v>
      </c>
      <c r="F1195" t="str">
        <f>HYPERLINK("http://www.sec.gov/Archives/edgar/data/1440799/0001477932-16-011309-index.html")</f>
        <v>http://www.sec.gov/Archives/edgar/data/1440799/0001477932-16-011309-index.html</v>
      </c>
    </row>
    <row r="1196" spans="1:6" x14ac:dyDescent="0.2">
      <c r="A1196" t="s">
        <v>1107</v>
      </c>
      <c r="B1196" s="1">
        <v>1479014</v>
      </c>
      <c r="C1196" s="1">
        <v>5960</v>
      </c>
      <c r="D1196" s="2">
        <v>42562</v>
      </c>
      <c r="E1196" s="1" t="s">
        <v>18</v>
      </c>
      <c r="F1196" t="str">
        <f>HYPERLINK("http://www.sec.gov/Archives/edgar/data/1479014/0001010549-16-000659-index.html")</f>
        <v>http://www.sec.gov/Archives/edgar/data/1479014/0001010549-16-000659-index.html</v>
      </c>
    </row>
    <row r="1197" spans="1:6" x14ac:dyDescent="0.2">
      <c r="A1197" t="s">
        <v>1108</v>
      </c>
      <c r="B1197" s="1">
        <v>1586468</v>
      </c>
      <c r="C1197" s="1">
        <v>5810</v>
      </c>
      <c r="D1197" s="2">
        <v>42562</v>
      </c>
      <c r="E1197" s="1" t="s">
        <v>42</v>
      </c>
      <c r="F1197" t="str">
        <f>HYPERLINK("http://www.sec.gov/Archives/edgar/data/1586468/0001640334-16-001350-index.html")</f>
        <v>http://www.sec.gov/Archives/edgar/data/1586468/0001640334-16-001350-index.html</v>
      </c>
    </row>
    <row r="1198" spans="1:6" x14ac:dyDescent="0.2">
      <c r="A1198" t="s">
        <v>1109</v>
      </c>
      <c r="B1198" s="1">
        <v>4187</v>
      </c>
      <c r="C1198" s="1">
        <v>4950</v>
      </c>
      <c r="D1198" s="2">
        <v>42562</v>
      </c>
      <c r="E1198" s="1" t="s">
        <v>42</v>
      </c>
      <c r="F1198" t="str">
        <f>HYPERLINK("http://www.sec.gov/Archives/edgar/data/4187/0000004187-16-000064-index.html")</f>
        <v>http://www.sec.gov/Archives/edgar/data/4187/0000004187-16-000064-index.html</v>
      </c>
    </row>
    <row r="1199" spans="1:6" x14ac:dyDescent="0.2">
      <c r="A1199" t="s">
        <v>1110</v>
      </c>
      <c r="B1199" s="1">
        <v>830483</v>
      </c>
      <c r="C1199" s="1">
        <v>3690</v>
      </c>
      <c r="D1199" s="2">
        <v>42562</v>
      </c>
      <c r="E1199" s="1" t="s">
        <v>42</v>
      </c>
      <c r="F1199" t="str">
        <f>HYPERLINK("http://www.sec.gov/Archives/edgar/data/830483/0001445866-16-002345-index.html")</f>
        <v>http://www.sec.gov/Archives/edgar/data/830483/0001445866-16-002345-index.html</v>
      </c>
    </row>
    <row r="1200" spans="1:6" x14ac:dyDescent="0.2">
      <c r="A1200" t="s">
        <v>1111</v>
      </c>
      <c r="B1200" s="1">
        <v>1456455</v>
      </c>
      <c r="C1200" s="1">
        <v>3669</v>
      </c>
      <c r="D1200" s="2">
        <v>42559</v>
      </c>
      <c r="E1200" s="1" t="s">
        <v>18</v>
      </c>
      <c r="F1200" t="str">
        <f>HYPERLINK("http://www.sec.gov/Archives/edgar/data/1456455/0001144204-16-112276-index.html")</f>
        <v>http://www.sec.gov/Archives/edgar/data/1456455/0001144204-16-112276-index.html</v>
      </c>
    </row>
    <row r="1201" spans="1:6" x14ac:dyDescent="0.2">
      <c r="A1201" t="s">
        <v>1112</v>
      </c>
      <c r="B1201" s="1">
        <v>1576724</v>
      </c>
      <c r="C1201" s="1">
        <v>7372</v>
      </c>
      <c r="D1201" s="2">
        <v>42559</v>
      </c>
      <c r="E1201" s="1" t="s">
        <v>18</v>
      </c>
      <c r="F1201" t="str">
        <f>HYPERLINK("http://www.sec.gov/Archives/edgar/data/1576724/0001165527-16-000821-index.html")</f>
        <v>http://www.sec.gov/Archives/edgar/data/1576724/0001165527-16-000821-index.html</v>
      </c>
    </row>
    <row r="1202" spans="1:6" x14ac:dyDescent="0.2">
      <c r="A1202" t="s">
        <v>1113</v>
      </c>
      <c r="B1202" s="1">
        <v>50292</v>
      </c>
      <c r="C1202" s="1">
        <v>3678</v>
      </c>
      <c r="D1202" s="2">
        <v>42559</v>
      </c>
      <c r="E1202" s="1" t="s">
        <v>18</v>
      </c>
      <c r="F1202" t="str">
        <f>HYPERLINK("http://www.sec.gov/Archives/edgar/data/50292/0001174947-16-002871-index.html")</f>
        <v>http://www.sec.gov/Archives/edgar/data/50292/0001174947-16-002871-index.html</v>
      </c>
    </row>
    <row r="1203" spans="1:6" x14ac:dyDescent="0.2">
      <c r="A1203" t="s">
        <v>1114</v>
      </c>
      <c r="B1203" s="1">
        <v>1400683</v>
      </c>
      <c r="C1203" s="1">
        <v>8742</v>
      </c>
      <c r="D1203" s="2">
        <v>42557</v>
      </c>
      <c r="E1203" s="1" t="s">
        <v>18</v>
      </c>
      <c r="F1203" t="str">
        <f>HYPERLINK("http://www.sec.gov/Archives/edgar/data/1400683/0001127855-16-000705-index.html")</f>
        <v>http://www.sec.gov/Archives/edgar/data/1400683/0001127855-16-000705-index.html</v>
      </c>
    </row>
    <row r="1204" spans="1:6" x14ac:dyDescent="0.2">
      <c r="A1204" t="s">
        <v>1115</v>
      </c>
      <c r="B1204" s="1">
        <v>1607679</v>
      </c>
      <c r="C1204" s="1">
        <v>2833</v>
      </c>
      <c r="D1204" s="2">
        <v>42556</v>
      </c>
      <c r="E1204" s="1" t="s">
        <v>18</v>
      </c>
      <c r="F1204" t="str">
        <f>HYPERLINK("http://www.sec.gov/Archives/edgar/data/1607679/0001354488-16-007974-index.html")</f>
        <v>http://www.sec.gov/Archives/edgar/data/1607679/0001354488-16-007974-index.html</v>
      </c>
    </row>
    <row r="1205" spans="1:6" x14ac:dyDescent="0.2">
      <c r="A1205" t="s">
        <v>1116</v>
      </c>
      <c r="B1205" s="1">
        <v>1081183</v>
      </c>
      <c r="C1205" s="1">
        <v>1382</v>
      </c>
      <c r="D1205" s="2">
        <v>42552</v>
      </c>
      <c r="E1205" s="1" t="s">
        <v>18</v>
      </c>
      <c r="F1205" t="str">
        <f>HYPERLINK("http://www.sec.gov/Archives/edgar/data/1081183/0001570931-16-000070-index.html")</f>
        <v>http://www.sec.gov/Archives/edgar/data/1081183/0001570931-16-000070-index.html</v>
      </c>
    </row>
    <row r="1206" spans="1:6" x14ac:dyDescent="0.2">
      <c r="A1206" t="s">
        <v>1117</v>
      </c>
      <c r="B1206" s="1">
        <v>1083706</v>
      </c>
      <c r="C1206" s="1">
        <v>1311</v>
      </c>
      <c r="D1206" s="2">
        <v>42552</v>
      </c>
      <c r="E1206" s="1" t="s">
        <v>18</v>
      </c>
      <c r="F1206" t="str">
        <f>HYPERLINK("http://www.sec.gov/Archives/edgar/data/1083706/0000721748-16-001415-index.html")</f>
        <v>http://www.sec.gov/Archives/edgar/data/1083706/0000721748-16-001415-index.html</v>
      </c>
    </row>
    <row r="1207" spans="1:6" x14ac:dyDescent="0.2">
      <c r="A1207" t="s">
        <v>1118</v>
      </c>
      <c r="B1207" s="1">
        <v>1090908</v>
      </c>
      <c r="C1207" s="1">
        <v>7372</v>
      </c>
      <c r="D1207" s="2">
        <v>42552</v>
      </c>
      <c r="E1207" s="1" t="s">
        <v>18</v>
      </c>
      <c r="F1207" t="str">
        <f>HYPERLINK("http://www.sec.gov/Archives/edgar/data/1090908/0001437749-16-034757-index.html")</f>
        <v>http://www.sec.gov/Archives/edgar/data/1090908/0001437749-16-034757-index.html</v>
      </c>
    </row>
    <row r="1208" spans="1:6" x14ac:dyDescent="0.2">
      <c r="A1208" t="s">
        <v>1119</v>
      </c>
      <c r="B1208" s="1">
        <v>1157817</v>
      </c>
      <c r="C1208" s="1">
        <v>7389</v>
      </c>
      <c r="D1208" s="2">
        <v>42552</v>
      </c>
      <c r="E1208" s="1" t="s">
        <v>42</v>
      </c>
      <c r="F1208" t="str">
        <f>HYPERLINK("http://www.sec.gov/Archives/edgar/data/1157817/0001213900-16-014664-index.html")</f>
        <v>http://www.sec.gov/Archives/edgar/data/1157817/0001213900-16-014664-index.html</v>
      </c>
    </row>
    <row r="1209" spans="1:6" x14ac:dyDescent="0.2">
      <c r="A1209" t="s">
        <v>1120</v>
      </c>
      <c r="B1209" s="1">
        <v>1624517</v>
      </c>
      <c r="C1209" s="1">
        <v>1000</v>
      </c>
      <c r="D1209" s="2">
        <v>42552</v>
      </c>
      <c r="E1209" s="1" t="s">
        <v>18</v>
      </c>
      <c r="F1209" t="str">
        <f>HYPERLINK("http://www.sec.gov/Archives/edgar/data/1624517/0001493152-16-011237-index.html")</f>
        <v>http://www.sec.gov/Archives/edgar/data/1624517/0001493152-16-011237-index.html</v>
      </c>
    </row>
    <row r="1210" spans="1:6" x14ac:dyDescent="0.2">
      <c r="A1210" t="s">
        <v>1121</v>
      </c>
      <c r="B1210" s="1">
        <v>1627611</v>
      </c>
      <c r="C1210" s="1">
        <v>7371</v>
      </c>
      <c r="D1210" s="2">
        <v>42552</v>
      </c>
      <c r="E1210" s="1" t="s">
        <v>18</v>
      </c>
      <c r="F1210" t="str">
        <f>HYPERLINK("http://www.sec.gov/Archives/edgar/data/1627611/0001640334-16-001285-index.html")</f>
        <v>http://www.sec.gov/Archives/edgar/data/1627611/0001640334-16-001285-index.html</v>
      </c>
    </row>
    <row r="1211" spans="1:6" x14ac:dyDescent="0.2">
      <c r="A1211" t="s">
        <v>1122</v>
      </c>
      <c r="B1211" s="1">
        <v>1317880</v>
      </c>
      <c r="C1211" s="1">
        <v>2834</v>
      </c>
      <c r="D1211" s="2">
        <v>42551</v>
      </c>
      <c r="E1211" s="1" t="s">
        <v>18</v>
      </c>
      <c r="F1211" t="str">
        <f>HYPERLINK("http://www.sec.gov/Archives/edgar/data/1317880/0001262463-16-000987-index.html")</f>
        <v>http://www.sec.gov/Archives/edgar/data/1317880/0001262463-16-000987-index.html</v>
      </c>
    </row>
    <row r="1212" spans="1:6" x14ac:dyDescent="0.2">
      <c r="A1212" t="s">
        <v>1123</v>
      </c>
      <c r="B1212" s="1">
        <v>1508381</v>
      </c>
      <c r="C1212" s="1">
        <v>3842</v>
      </c>
      <c r="D1212" s="2">
        <v>42551</v>
      </c>
      <c r="E1212" s="1" t="s">
        <v>21</v>
      </c>
      <c r="F1212" t="str">
        <f>HYPERLINK("http://www.sec.gov/Archives/edgar/data/1508381/0001144204-16-110686-index.html")</f>
        <v>http://www.sec.gov/Archives/edgar/data/1508381/0001144204-16-110686-index.html</v>
      </c>
    </row>
    <row r="1213" spans="1:6" x14ac:dyDescent="0.2">
      <c r="A1213" t="s">
        <v>1124</v>
      </c>
      <c r="B1213" s="1">
        <v>1517389</v>
      </c>
      <c r="C1213" s="1">
        <v>7371</v>
      </c>
      <c r="D1213" s="2">
        <v>42551</v>
      </c>
      <c r="E1213" s="1" t="s">
        <v>18</v>
      </c>
      <c r="F1213" t="str">
        <f>HYPERLINK("http://www.sec.gov/Archives/edgar/data/1517389/0001477932-16-011114-index.html")</f>
        <v>http://www.sec.gov/Archives/edgar/data/1517389/0001477932-16-011114-index.html</v>
      </c>
    </row>
    <row r="1214" spans="1:6" x14ac:dyDescent="0.2">
      <c r="A1214" t="s">
        <v>1125</v>
      </c>
      <c r="B1214" s="1">
        <v>40704</v>
      </c>
      <c r="C1214" s="1">
        <v>2040</v>
      </c>
      <c r="D1214" s="2">
        <v>42551</v>
      </c>
      <c r="E1214" s="1" t="s">
        <v>18</v>
      </c>
      <c r="F1214" t="str">
        <f>HYPERLINK("http://www.sec.gov/Archives/edgar/data/40704/0001193125-16-638404-index.html")</f>
        <v>http://www.sec.gov/Archives/edgar/data/40704/0001193125-16-638404-index.html</v>
      </c>
    </row>
    <row r="1215" spans="1:6" x14ac:dyDescent="0.2">
      <c r="A1215" t="s">
        <v>1126</v>
      </c>
      <c r="B1215" s="1">
        <v>780571</v>
      </c>
      <c r="C1215" s="1">
        <v>3825</v>
      </c>
      <c r="D1215" s="2">
        <v>42551</v>
      </c>
      <c r="E1215" s="1" t="s">
        <v>18</v>
      </c>
      <c r="F1215" t="str">
        <f>HYPERLINK("http://www.sec.gov/Archives/edgar/data/780571/0000780571-16-000059-index.html")</f>
        <v>http://www.sec.gov/Archives/edgar/data/780571/0000780571-16-000059-index.html</v>
      </c>
    </row>
    <row r="1216" spans="1:6" x14ac:dyDescent="0.2">
      <c r="A1216" t="s">
        <v>1127</v>
      </c>
      <c r="B1216" s="1">
        <v>98752</v>
      </c>
      <c r="C1216" s="1">
        <v>3677</v>
      </c>
      <c r="D1216" s="2">
        <v>42551</v>
      </c>
      <c r="E1216" s="1" t="s">
        <v>18</v>
      </c>
      <c r="F1216" t="str">
        <f>HYPERLINK("http://www.sec.gov/Archives/edgar/data/98752/0001558370-16-006550-index.html")</f>
        <v>http://www.sec.gov/Archives/edgar/data/98752/0001558370-16-006550-index.html</v>
      </c>
    </row>
    <row r="1217" spans="1:6" x14ac:dyDescent="0.2">
      <c r="A1217" t="s">
        <v>1128</v>
      </c>
      <c r="B1217" s="1">
        <v>107140</v>
      </c>
      <c r="C1217" s="1">
        <v>2731</v>
      </c>
      <c r="D1217" s="2">
        <v>42550</v>
      </c>
      <c r="E1217" s="1" t="s">
        <v>18</v>
      </c>
      <c r="F1217" t="str">
        <f>HYPERLINK("http://www.sec.gov/Archives/edgar/data/107140/0000107140-16-000050-index.html")</f>
        <v>http://www.sec.gov/Archives/edgar/data/107140/0000107140-16-000050-index.html</v>
      </c>
    </row>
    <row r="1218" spans="1:6" x14ac:dyDescent="0.2">
      <c r="A1218" t="s">
        <v>1129</v>
      </c>
      <c r="B1218" s="1">
        <v>1078037</v>
      </c>
      <c r="C1218" s="1">
        <v>3843</v>
      </c>
      <c r="D1218" s="2">
        <v>42550</v>
      </c>
      <c r="E1218" s="1" t="s">
        <v>18</v>
      </c>
      <c r="F1218" t="str">
        <f>HYPERLINK("http://www.sec.gov/Archives/edgar/data/1078037/0001144204-16-110537-index.html")</f>
        <v>http://www.sec.gov/Archives/edgar/data/1078037/0001144204-16-110537-index.html</v>
      </c>
    </row>
    <row r="1219" spans="1:6" x14ac:dyDescent="0.2">
      <c r="A1219" t="s">
        <v>1130</v>
      </c>
      <c r="B1219" s="1">
        <v>1083446</v>
      </c>
      <c r="C1219" s="1">
        <v>8742</v>
      </c>
      <c r="D1219" s="2">
        <v>42550</v>
      </c>
      <c r="E1219" s="1" t="s">
        <v>18</v>
      </c>
      <c r="F1219" t="str">
        <f>HYPERLINK("http://www.sec.gov/Archives/edgar/data/1083446/0001144204-16-110594-index.html")</f>
        <v>http://www.sec.gov/Archives/edgar/data/1083446/0001144204-16-110594-index.html</v>
      </c>
    </row>
    <row r="1220" spans="1:6" x14ac:dyDescent="0.2">
      <c r="A1220" t="s">
        <v>1131</v>
      </c>
      <c r="B1220" s="1">
        <v>1164888</v>
      </c>
      <c r="C1220" s="1">
        <v>2834</v>
      </c>
      <c r="D1220" s="2">
        <v>42550</v>
      </c>
      <c r="E1220" s="1" t="s">
        <v>18</v>
      </c>
      <c r="F1220" t="str">
        <f>HYPERLINK("http://www.sec.gov/Archives/edgar/data/1164888/0001654954-16-000575-index.html")</f>
        <v>http://www.sec.gov/Archives/edgar/data/1164888/0001654954-16-000575-index.html</v>
      </c>
    </row>
    <row r="1221" spans="1:6" x14ac:dyDescent="0.2">
      <c r="A1221" t="s">
        <v>1132</v>
      </c>
      <c r="B1221" s="1">
        <v>1177845</v>
      </c>
      <c r="C1221" s="1">
        <v>3570</v>
      </c>
      <c r="D1221" s="2">
        <v>42550</v>
      </c>
      <c r="E1221" s="1" t="s">
        <v>18</v>
      </c>
      <c r="F1221" t="str">
        <f>HYPERLINK("http://www.sec.gov/Archives/edgar/data/1177845/0001185185-16-004898-index.html")</f>
        <v>http://www.sec.gov/Archives/edgar/data/1177845/0001185185-16-004898-index.html</v>
      </c>
    </row>
    <row r="1222" spans="1:6" x14ac:dyDescent="0.2">
      <c r="A1222" t="s">
        <v>1133</v>
      </c>
      <c r="B1222" s="1">
        <v>1182737</v>
      </c>
      <c r="C1222" s="1">
        <v>1000</v>
      </c>
      <c r="D1222" s="2">
        <v>42550</v>
      </c>
      <c r="E1222" s="1" t="s">
        <v>18</v>
      </c>
      <c r="F1222" t="str">
        <f>HYPERLINK("http://www.sec.gov/Archives/edgar/data/1182737/0001078782-16-003042-index.html")</f>
        <v>http://www.sec.gov/Archives/edgar/data/1182737/0001078782-16-003042-index.html</v>
      </c>
    </row>
    <row r="1223" spans="1:6" x14ac:dyDescent="0.2">
      <c r="A1223" t="s">
        <v>1134</v>
      </c>
      <c r="B1223" s="1">
        <v>1335258</v>
      </c>
      <c r="C1223" s="1">
        <v>7900</v>
      </c>
      <c r="D1223" s="2">
        <v>42550</v>
      </c>
      <c r="E1223" s="1" t="s">
        <v>42</v>
      </c>
      <c r="F1223" t="str">
        <f>HYPERLINK("http://www.sec.gov/Archives/edgar/data/1335258/0001335258-16-000225-index.html")</f>
        <v>http://www.sec.gov/Archives/edgar/data/1335258/0001335258-16-000225-index.html</v>
      </c>
    </row>
    <row r="1224" spans="1:6" x14ac:dyDescent="0.2">
      <c r="A1224" t="s">
        <v>1135</v>
      </c>
      <c r="B1224" s="1">
        <v>1368622</v>
      </c>
      <c r="C1224" s="1">
        <v>3721</v>
      </c>
      <c r="D1224" s="2">
        <v>42550</v>
      </c>
      <c r="E1224" s="1" t="s">
        <v>18</v>
      </c>
      <c r="F1224" t="str">
        <f>HYPERLINK("http://www.sec.gov/Archives/edgar/data/1368622/0001558370-16-006514-index.html")</f>
        <v>http://www.sec.gov/Archives/edgar/data/1368622/0001558370-16-006514-index.html</v>
      </c>
    </row>
    <row r="1225" spans="1:6" x14ac:dyDescent="0.2">
      <c r="A1225" t="s">
        <v>555</v>
      </c>
      <c r="B1225" s="1">
        <v>1399306</v>
      </c>
      <c r="C1225" s="1">
        <v>1040</v>
      </c>
      <c r="D1225" s="2">
        <v>42550</v>
      </c>
      <c r="E1225" s="1" t="s">
        <v>18</v>
      </c>
      <c r="F1225" t="str">
        <f>HYPERLINK("http://www.sec.gov/Archives/edgar/data/1399306/0001019687-16-006794-index.html")</f>
        <v>http://www.sec.gov/Archives/edgar/data/1399306/0001019687-16-006794-index.html</v>
      </c>
    </row>
    <row r="1226" spans="1:6" x14ac:dyDescent="0.2">
      <c r="A1226" t="s">
        <v>1136</v>
      </c>
      <c r="B1226" s="1">
        <v>1442853</v>
      </c>
      <c r="C1226" s="1">
        <v>6200</v>
      </c>
      <c r="D1226" s="2">
        <v>42550</v>
      </c>
      <c r="E1226" s="1" t="s">
        <v>18</v>
      </c>
      <c r="F1226" t="str">
        <f>HYPERLINK("http://www.sec.gov/Archives/edgar/data/1442853/0001594062-16-000523-index.html")</f>
        <v>http://www.sec.gov/Archives/edgar/data/1442853/0001594062-16-000523-index.html</v>
      </c>
    </row>
    <row r="1227" spans="1:6" x14ac:dyDescent="0.2">
      <c r="A1227" t="s">
        <v>1137</v>
      </c>
      <c r="B1227" s="1">
        <v>1462223</v>
      </c>
      <c r="C1227" s="1">
        <v>3559</v>
      </c>
      <c r="D1227" s="2">
        <v>42550</v>
      </c>
      <c r="E1227" s="1" t="s">
        <v>18</v>
      </c>
      <c r="F1227" t="str">
        <f>HYPERLINK("http://www.sec.gov/Archives/edgar/data/1462223/0001213900-16-014576-index.html")</f>
        <v>http://www.sec.gov/Archives/edgar/data/1462223/0001213900-16-014576-index.html</v>
      </c>
    </row>
    <row r="1228" spans="1:6" x14ac:dyDescent="0.2">
      <c r="A1228" t="s">
        <v>1138</v>
      </c>
      <c r="B1228" s="1">
        <v>1518171</v>
      </c>
      <c r="C1228" s="1">
        <v>7372</v>
      </c>
      <c r="D1228" s="2">
        <v>42550</v>
      </c>
      <c r="E1228" s="1" t="s">
        <v>18</v>
      </c>
      <c r="F1228" t="str">
        <f>HYPERLINK("http://www.sec.gov/Archives/edgar/data/1518171/0001640334-16-001279-index.html")</f>
        <v>http://www.sec.gov/Archives/edgar/data/1518171/0001640334-16-001279-index.html</v>
      </c>
    </row>
    <row r="1229" spans="1:6" x14ac:dyDescent="0.2">
      <c r="A1229" t="s">
        <v>1139</v>
      </c>
      <c r="B1229" s="1">
        <v>1528930</v>
      </c>
      <c r="C1229" s="1">
        <v>6794</v>
      </c>
      <c r="D1229" s="2">
        <v>42550</v>
      </c>
      <c r="E1229" s="1" t="s">
        <v>18</v>
      </c>
      <c r="F1229" t="str">
        <f>HYPERLINK("http://www.sec.gov/Archives/edgar/data/1528930/0001528930-16-000045-index.html")</f>
        <v>http://www.sec.gov/Archives/edgar/data/1528930/0001528930-16-000045-index.html</v>
      </c>
    </row>
    <row r="1230" spans="1:6" x14ac:dyDescent="0.2">
      <c r="A1230" t="s">
        <v>1140</v>
      </c>
      <c r="B1230" s="1">
        <v>1551739</v>
      </c>
      <c r="C1230" s="1">
        <v>6035</v>
      </c>
      <c r="D1230" s="2">
        <v>42550</v>
      </c>
      <c r="E1230" s="1" t="s">
        <v>18</v>
      </c>
      <c r="F1230" t="str">
        <f>HYPERLINK("http://www.sec.gov/Archives/edgar/data/1551739/0001437749-16-034628-index.html")</f>
        <v>http://www.sec.gov/Archives/edgar/data/1551739/0001437749-16-034628-index.html</v>
      </c>
    </row>
    <row r="1231" spans="1:6" x14ac:dyDescent="0.2">
      <c r="A1231" t="s">
        <v>1141</v>
      </c>
      <c r="B1231" s="1">
        <v>1553992</v>
      </c>
      <c r="C1231" s="1">
        <v>6189</v>
      </c>
      <c r="D1231" s="2">
        <v>42550</v>
      </c>
      <c r="E1231" s="1" t="s">
        <v>18</v>
      </c>
      <c r="F1231" t="str">
        <f>HYPERLINK("http://www.sec.gov/Archives/edgar/data/1553992/0001540639-16-000673-index.html")</f>
        <v>http://www.sec.gov/Archives/edgar/data/1553992/0001540639-16-000673-index.html</v>
      </c>
    </row>
    <row r="1232" spans="1:6" x14ac:dyDescent="0.2">
      <c r="A1232" t="s">
        <v>1142</v>
      </c>
      <c r="B1232" s="1">
        <v>1564053</v>
      </c>
      <c r="C1232" s="1">
        <v>6189</v>
      </c>
      <c r="D1232" s="2">
        <v>42550</v>
      </c>
      <c r="E1232" s="1" t="s">
        <v>18</v>
      </c>
      <c r="F1232" t="str">
        <f>HYPERLINK("http://www.sec.gov/Archives/edgar/data/1564053/0001540639-16-000674-index.html")</f>
        <v>http://www.sec.gov/Archives/edgar/data/1564053/0001540639-16-000674-index.html</v>
      </c>
    </row>
    <row r="1233" spans="1:6" x14ac:dyDescent="0.2">
      <c r="A1233" t="s">
        <v>1143</v>
      </c>
      <c r="B1233" s="1">
        <v>1567520</v>
      </c>
      <c r="C1233" s="1">
        <v>6770</v>
      </c>
      <c r="D1233" s="2">
        <v>42550</v>
      </c>
      <c r="E1233" s="1" t="s">
        <v>18</v>
      </c>
      <c r="F1233" t="str">
        <f>HYPERLINK("http://www.sec.gov/Archives/edgar/data/1567520/0001213900-16-014578-index.html")</f>
        <v>http://www.sec.gov/Archives/edgar/data/1567520/0001213900-16-014578-index.html</v>
      </c>
    </row>
    <row r="1234" spans="1:6" x14ac:dyDescent="0.2">
      <c r="A1234" t="s">
        <v>1144</v>
      </c>
      <c r="B1234" s="1">
        <v>1573766</v>
      </c>
      <c r="C1234" s="1">
        <v>6221</v>
      </c>
      <c r="D1234" s="2">
        <v>42550</v>
      </c>
      <c r="E1234" s="1" t="s">
        <v>18</v>
      </c>
      <c r="F1234" t="str">
        <f>HYPERLINK("http://www.sec.gov/Archives/edgar/data/1573766/0001213900-16-014590-index.html")</f>
        <v>http://www.sec.gov/Archives/edgar/data/1573766/0001213900-16-014590-index.html</v>
      </c>
    </row>
    <row r="1235" spans="1:6" x14ac:dyDescent="0.2">
      <c r="A1235" t="s">
        <v>1145</v>
      </c>
      <c r="B1235" s="1">
        <v>1577603</v>
      </c>
      <c r="C1235" s="1">
        <v>6035</v>
      </c>
      <c r="D1235" s="2">
        <v>42550</v>
      </c>
      <c r="E1235" s="1" t="s">
        <v>18</v>
      </c>
      <c r="F1235" t="str">
        <f>HYPERLINK("http://www.sec.gov/Archives/edgar/data/1577603/0001437749-16-034610-index.html")</f>
        <v>http://www.sec.gov/Archives/edgar/data/1577603/0001437749-16-034610-index.html</v>
      </c>
    </row>
    <row r="1236" spans="1:6" x14ac:dyDescent="0.2">
      <c r="A1236" t="s">
        <v>1146</v>
      </c>
      <c r="B1236" s="1">
        <v>1578523</v>
      </c>
      <c r="C1236" s="1">
        <v>1040</v>
      </c>
      <c r="D1236" s="2">
        <v>42550</v>
      </c>
      <c r="E1236" s="1" t="s">
        <v>18</v>
      </c>
      <c r="F1236" t="str">
        <f>HYPERLINK("http://www.sec.gov/Archives/edgar/data/1578523/0001493152-16-011174-index.html")</f>
        <v>http://www.sec.gov/Archives/edgar/data/1578523/0001493152-16-011174-index.html</v>
      </c>
    </row>
    <row r="1237" spans="1:6" x14ac:dyDescent="0.2">
      <c r="A1237" t="s">
        <v>1147</v>
      </c>
      <c r="B1237" s="1">
        <v>1579068</v>
      </c>
      <c r="C1237" s="1">
        <v>6189</v>
      </c>
      <c r="D1237" s="2">
        <v>42550</v>
      </c>
      <c r="E1237" s="1" t="s">
        <v>18</v>
      </c>
      <c r="F1237" t="str">
        <f>HYPERLINK("http://www.sec.gov/Archives/edgar/data/1579068/0001540639-16-000675-index.html")</f>
        <v>http://www.sec.gov/Archives/edgar/data/1579068/0001540639-16-000675-index.html</v>
      </c>
    </row>
    <row r="1238" spans="1:6" x14ac:dyDescent="0.2">
      <c r="A1238" t="s">
        <v>440</v>
      </c>
      <c r="B1238" s="1">
        <v>1584754</v>
      </c>
      <c r="C1238" s="1">
        <v>3661</v>
      </c>
      <c r="D1238" s="2">
        <v>42550</v>
      </c>
      <c r="E1238" s="1" t="s">
        <v>18</v>
      </c>
      <c r="F1238" t="str">
        <f>HYPERLINK("http://www.sec.gov/Archives/edgar/data/1584754/0001615774-16-006132-index.html")</f>
        <v>http://www.sec.gov/Archives/edgar/data/1584754/0001615774-16-006132-index.html</v>
      </c>
    </row>
    <row r="1239" spans="1:6" x14ac:dyDescent="0.2">
      <c r="A1239" t="s">
        <v>1148</v>
      </c>
      <c r="B1239" s="1">
        <v>1592781</v>
      </c>
      <c r="C1239" s="1">
        <v>6189</v>
      </c>
      <c r="D1239" s="2">
        <v>42550</v>
      </c>
      <c r="E1239" s="1" t="s">
        <v>18</v>
      </c>
      <c r="F1239" t="str">
        <f>HYPERLINK("http://www.sec.gov/Archives/edgar/data/1592781/0001540639-16-000676-index.html")</f>
        <v>http://www.sec.gov/Archives/edgar/data/1592781/0001540639-16-000676-index.html</v>
      </c>
    </row>
    <row r="1240" spans="1:6" x14ac:dyDescent="0.2">
      <c r="A1240" t="s">
        <v>1149</v>
      </c>
      <c r="B1240" s="1">
        <v>1598908</v>
      </c>
      <c r="C1240" s="1">
        <v>6189</v>
      </c>
      <c r="D1240" s="2">
        <v>42550</v>
      </c>
      <c r="E1240" s="1" t="s">
        <v>18</v>
      </c>
      <c r="F1240" t="str">
        <f>HYPERLINK("http://www.sec.gov/Archives/edgar/data/1598908/0001540639-16-000677-index.html")</f>
        <v>http://www.sec.gov/Archives/edgar/data/1598908/0001540639-16-000677-index.html</v>
      </c>
    </row>
    <row r="1241" spans="1:6" x14ac:dyDescent="0.2">
      <c r="A1241" t="s">
        <v>1150</v>
      </c>
      <c r="B1241" s="1">
        <v>1609880</v>
      </c>
      <c r="C1241" s="1">
        <v>1040</v>
      </c>
      <c r="D1241" s="2">
        <v>42550</v>
      </c>
      <c r="E1241" s="1" t="s">
        <v>18</v>
      </c>
      <c r="F1241" t="str">
        <f>HYPERLINK("http://www.sec.gov/Archives/edgar/data/1609880/0001062993-16-010356-index.html")</f>
        <v>http://www.sec.gov/Archives/edgar/data/1609880/0001062993-16-010356-index.html</v>
      </c>
    </row>
    <row r="1242" spans="1:6" x14ac:dyDescent="0.2">
      <c r="A1242" t="s">
        <v>1151</v>
      </c>
      <c r="B1242" s="1">
        <v>1611852</v>
      </c>
      <c r="C1242" s="1">
        <v>6159</v>
      </c>
      <c r="D1242" s="2">
        <v>42550</v>
      </c>
      <c r="E1242" s="1" t="s">
        <v>18</v>
      </c>
      <c r="F1242" t="str">
        <f>HYPERLINK("http://www.sec.gov/Archives/edgar/data/1611852/0001213900-16-014586-index.html")</f>
        <v>http://www.sec.gov/Archives/edgar/data/1611852/0001213900-16-014586-index.html</v>
      </c>
    </row>
    <row r="1243" spans="1:6" x14ac:dyDescent="0.2">
      <c r="A1243" t="s">
        <v>1152</v>
      </c>
      <c r="B1243" s="1">
        <v>1612851</v>
      </c>
      <c r="C1243" s="1">
        <v>1040</v>
      </c>
      <c r="D1243" s="2">
        <v>42550</v>
      </c>
      <c r="E1243" s="1" t="s">
        <v>18</v>
      </c>
      <c r="F1243" t="str">
        <f>HYPERLINK("http://www.sec.gov/Archives/edgar/data/1612851/0001062993-16-010359-index.html")</f>
        <v>http://www.sec.gov/Archives/edgar/data/1612851/0001062993-16-010359-index.html</v>
      </c>
    </row>
    <row r="1244" spans="1:6" x14ac:dyDescent="0.2">
      <c r="A1244" t="s">
        <v>1153</v>
      </c>
      <c r="B1244" s="1">
        <v>1622463</v>
      </c>
      <c r="C1244" s="1">
        <v>6189</v>
      </c>
      <c r="D1244" s="2">
        <v>42550</v>
      </c>
      <c r="E1244" s="1" t="s">
        <v>18</v>
      </c>
      <c r="F1244" t="str">
        <f>HYPERLINK("http://www.sec.gov/Archives/edgar/data/1622463/0001540639-16-000678-index.html")</f>
        <v>http://www.sec.gov/Archives/edgar/data/1622463/0001540639-16-000678-index.html</v>
      </c>
    </row>
    <row r="1245" spans="1:6" x14ac:dyDescent="0.2">
      <c r="A1245" t="s">
        <v>1154</v>
      </c>
      <c r="B1245" s="1">
        <v>1633532</v>
      </c>
      <c r="C1245" s="1">
        <v>6189</v>
      </c>
      <c r="D1245" s="2">
        <v>42550</v>
      </c>
      <c r="E1245" s="1" t="s">
        <v>18</v>
      </c>
      <c r="F1245" t="str">
        <f>HYPERLINK("http://www.sec.gov/Archives/edgar/data/1633532/0001540639-16-000679-index.html")</f>
        <v>http://www.sec.gov/Archives/edgar/data/1633532/0001540639-16-000679-index.html</v>
      </c>
    </row>
    <row r="1246" spans="1:6" x14ac:dyDescent="0.2">
      <c r="A1246" t="s">
        <v>1155</v>
      </c>
      <c r="B1246" s="1">
        <v>1634117</v>
      </c>
      <c r="C1246" s="1">
        <v>5940</v>
      </c>
      <c r="D1246" s="2">
        <v>42550</v>
      </c>
      <c r="E1246" s="1" t="s">
        <v>18</v>
      </c>
      <c r="F1246" t="str">
        <f>HYPERLINK("http://www.sec.gov/Archives/edgar/data/1634117/0001634117-16-000082-index.html")</f>
        <v>http://www.sec.gov/Archives/edgar/data/1634117/0001634117-16-000082-index.html</v>
      </c>
    </row>
    <row r="1247" spans="1:6" x14ac:dyDescent="0.2">
      <c r="A1247" t="s">
        <v>1156</v>
      </c>
      <c r="B1247" s="1">
        <v>1647254</v>
      </c>
      <c r="C1247" s="1">
        <v>6189</v>
      </c>
      <c r="D1247" s="2">
        <v>42550</v>
      </c>
      <c r="E1247" s="1" t="s">
        <v>18</v>
      </c>
      <c r="F1247" t="str">
        <f>HYPERLINK("http://www.sec.gov/Archives/edgar/data/1647254/0001540639-16-000680-index.html")</f>
        <v>http://www.sec.gov/Archives/edgar/data/1647254/0001540639-16-000680-index.html</v>
      </c>
    </row>
    <row r="1248" spans="1:6" x14ac:dyDescent="0.2">
      <c r="A1248" t="s">
        <v>1157</v>
      </c>
      <c r="B1248" s="1">
        <v>1653959</v>
      </c>
      <c r="C1248" s="1">
        <v>6189</v>
      </c>
      <c r="D1248" s="2">
        <v>42550</v>
      </c>
      <c r="E1248" s="1" t="s">
        <v>18</v>
      </c>
      <c r="F1248" t="str">
        <f>HYPERLINK("http://www.sec.gov/Archives/edgar/data/1653959/0001540639-16-000681-index.html")</f>
        <v>http://www.sec.gov/Archives/edgar/data/1653959/0001540639-16-000681-index.html</v>
      </c>
    </row>
    <row r="1249" spans="1:6" x14ac:dyDescent="0.2">
      <c r="A1249" t="s">
        <v>1158</v>
      </c>
      <c r="B1249" s="1">
        <v>1660703</v>
      </c>
      <c r="C1249" s="1">
        <v>6189</v>
      </c>
      <c r="D1249" s="2">
        <v>42550</v>
      </c>
      <c r="E1249" s="1" t="s">
        <v>18</v>
      </c>
      <c r="F1249" t="str">
        <f>HYPERLINK("http://www.sec.gov/Archives/edgar/data/1660703/0001540639-16-000682-index.html")</f>
        <v>http://www.sec.gov/Archives/edgar/data/1660703/0001540639-16-000682-index.html</v>
      </c>
    </row>
    <row r="1250" spans="1:6" x14ac:dyDescent="0.2">
      <c r="A1250" t="s">
        <v>1159</v>
      </c>
      <c r="B1250" s="1">
        <v>1666114</v>
      </c>
      <c r="C1250" s="1">
        <v>3949</v>
      </c>
      <c r="D1250" s="2">
        <v>42550</v>
      </c>
      <c r="E1250" s="1" t="s">
        <v>18</v>
      </c>
      <c r="F1250" t="str">
        <f>HYPERLINK("http://www.sec.gov/Archives/edgar/data/1666114/0001213900-16-014580-index.html")</f>
        <v>http://www.sec.gov/Archives/edgar/data/1666114/0001213900-16-014580-index.html</v>
      </c>
    </row>
    <row r="1251" spans="1:6" x14ac:dyDescent="0.2">
      <c r="A1251" t="s">
        <v>1160</v>
      </c>
      <c r="B1251" s="1">
        <v>32621</v>
      </c>
      <c r="C1251" s="1">
        <v>3651</v>
      </c>
      <c r="D1251" s="2">
        <v>42550</v>
      </c>
      <c r="E1251" s="1" t="s">
        <v>18</v>
      </c>
      <c r="F1251" t="str">
        <f>HYPERLINK("http://www.sec.gov/Archives/edgar/data/32621/0001564590-16-020955-index.html")</f>
        <v>http://www.sec.gov/Archives/edgar/data/32621/0001564590-16-020955-index.html</v>
      </c>
    </row>
    <row r="1252" spans="1:6" x14ac:dyDescent="0.2">
      <c r="A1252" t="s">
        <v>1161</v>
      </c>
      <c r="B1252" s="1">
        <v>353184</v>
      </c>
      <c r="C1252" s="1">
        <v>4513</v>
      </c>
      <c r="D1252" s="2">
        <v>42550</v>
      </c>
      <c r="E1252" s="1" t="s">
        <v>18</v>
      </c>
      <c r="F1252" t="str">
        <f>HYPERLINK("http://www.sec.gov/Archives/edgar/data/353184/0001437749-16-034573-index.html")</f>
        <v>http://www.sec.gov/Archives/edgar/data/353184/0001437749-16-034573-index.html</v>
      </c>
    </row>
    <row r="1253" spans="1:6" x14ac:dyDescent="0.2">
      <c r="A1253" t="s">
        <v>1162</v>
      </c>
      <c r="B1253" s="1">
        <v>39092</v>
      </c>
      <c r="C1253" s="1">
        <v>3310</v>
      </c>
      <c r="D1253" s="2">
        <v>42550</v>
      </c>
      <c r="E1253" s="1" t="s">
        <v>18</v>
      </c>
      <c r="F1253" t="str">
        <f>HYPERLINK("http://www.sec.gov/Archives/edgar/data/39092/0001437749-16-034621-index.html")</f>
        <v>http://www.sec.gov/Archives/edgar/data/39092/0001437749-16-034621-index.html</v>
      </c>
    </row>
    <row r="1254" spans="1:6" x14ac:dyDescent="0.2">
      <c r="A1254" t="s">
        <v>1163</v>
      </c>
      <c r="B1254" s="1">
        <v>66418</v>
      </c>
      <c r="C1254" s="1">
        <v>1311</v>
      </c>
      <c r="D1254" s="2">
        <v>42550</v>
      </c>
      <c r="E1254" s="1" t="s">
        <v>18</v>
      </c>
      <c r="F1254" t="str">
        <f>HYPERLINK("http://www.sec.gov/Archives/edgar/data/66418/0001493152-16-011127-index.html")</f>
        <v>http://www.sec.gov/Archives/edgar/data/66418/0001493152-16-011127-index.html</v>
      </c>
    </row>
    <row r="1255" spans="1:6" x14ac:dyDescent="0.2">
      <c r="A1255" t="s">
        <v>1164</v>
      </c>
      <c r="B1255" s="1">
        <v>794619</v>
      </c>
      <c r="C1255" s="1">
        <v>2430</v>
      </c>
      <c r="D1255" s="2">
        <v>42550</v>
      </c>
      <c r="E1255" s="1" t="s">
        <v>18</v>
      </c>
      <c r="F1255" t="str">
        <f>HYPERLINK("http://www.sec.gov/Archives/edgar/data/794619/0000794619-16-000374-index.html")</f>
        <v>http://www.sec.gov/Archives/edgar/data/794619/0000794619-16-000374-index.html</v>
      </c>
    </row>
    <row r="1256" spans="1:6" x14ac:dyDescent="0.2">
      <c r="A1256" t="s">
        <v>1165</v>
      </c>
      <c r="B1256" s="1">
        <v>798359</v>
      </c>
      <c r="C1256" s="1">
        <v>6798</v>
      </c>
      <c r="D1256" s="2">
        <v>42550</v>
      </c>
      <c r="E1256" s="1" t="s">
        <v>18</v>
      </c>
      <c r="F1256" t="str">
        <f>HYPERLINK("http://www.sec.gov/Archives/edgar/data/798359/0001558370-16-006536-index.html")</f>
        <v>http://www.sec.gov/Archives/edgar/data/798359/0001558370-16-006536-index.html</v>
      </c>
    </row>
    <row r="1257" spans="1:6" x14ac:dyDescent="0.2">
      <c r="A1257" t="s">
        <v>1166</v>
      </c>
      <c r="B1257" s="1">
        <v>847464</v>
      </c>
      <c r="C1257" s="1">
        <v>2834</v>
      </c>
      <c r="D1257" s="2">
        <v>42550</v>
      </c>
      <c r="E1257" s="1" t="s">
        <v>18</v>
      </c>
      <c r="F1257" t="str">
        <f>HYPERLINK("http://www.sec.gov/Archives/edgar/data/847464/0001096906-16-001729-index.html")</f>
        <v>http://www.sec.gov/Archives/edgar/data/847464/0001096906-16-001729-index.html</v>
      </c>
    </row>
    <row r="1258" spans="1:6" x14ac:dyDescent="0.2">
      <c r="A1258" t="s">
        <v>1167</v>
      </c>
      <c r="B1258" s="1">
        <v>880555</v>
      </c>
      <c r="C1258" s="1">
        <v>2711</v>
      </c>
      <c r="D1258" s="2">
        <v>42550</v>
      </c>
      <c r="E1258" s="1" t="s">
        <v>18</v>
      </c>
      <c r="F1258" t="str">
        <f>HYPERLINK("http://www.sec.gov/Archives/edgar/data/880555/0000880555-16-000055-index.html")</f>
        <v>http://www.sec.gov/Archives/edgar/data/880555/0000880555-16-000055-index.html</v>
      </c>
    </row>
    <row r="1259" spans="1:6" x14ac:dyDescent="0.2">
      <c r="A1259" t="s">
        <v>1168</v>
      </c>
      <c r="B1259" s="1">
        <v>882291</v>
      </c>
      <c r="C1259" s="1">
        <v>3826</v>
      </c>
      <c r="D1259" s="2">
        <v>42550</v>
      </c>
      <c r="E1259" s="1" t="s">
        <v>18</v>
      </c>
      <c r="F1259" t="str">
        <f>HYPERLINK("http://www.sec.gov/Archives/edgar/data/882291/0001019687-16-006800-index.html")</f>
        <v>http://www.sec.gov/Archives/edgar/data/882291/0001019687-16-006800-index.html</v>
      </c>
    </row>
    <row r="1260" spans="1:6" x14ac:dyDescent="0.2">
      <c r="A1260" t="s">
        <v>1169</v>
      </c>
      <c r="B1260" s="1">
        <v>891024</v>
      </c>
      <c r="C1260" s="1">
        <v>5047</v>
      </c>
      <c r="D1260" s="2">
        <v>42550</v>
      </c>
      <c r="E1260" s="1" t="s">
        <v>18</v>
      </c>
      <c r="F1260" t="str">
        <f>HYPERLINK("http://www.sec.gov/Archives/edgar/data/891024/0000891024-16-000012-index.html")</f>
        <v>http://www.sec.gov/Archives/edgar/data/891024/0000891024-16-000012-index.html</v>
      </c>
    </row>
    <row r="1261" spans="1:6" x14ac:dyDescent="0.2">
      <c r="A1261" t="s">
        <v>1170</v>
      </c>
      <c r="B1261" s="1">
        <v>96885</v>
      </c>
      <c r="C1261" s="1">
        <v>3670</v>
      </c>
      <c r="D1261" s="2">
        <v>42550</v>
      </c>
      <c r="E1261" s="1" t="s">
        <v>18</v>
      </c>
      <c r="F1261" t="str">
        <f>HYPERLINK("http://www.sec.gov/Archives/edgar/data/96885/0001185185-16-004889-index.html")</f>
        <v>http://www.sec.gov/Archives/edgar/data/96885/0001185185-16-004889-index.html</v>
      </c>
    </row>
    <row r="1262" spans="1:6" x14ac:dyDescent="0.2">
      <c r="A1262" t="s">
        <v>1171</v>
      </c>
      <c r="B1262" s="1">
        <v>1124524</v>
      </c>
      <c r="C1262" s="1">
        <v>3086</v>
      </c>
      <c r="D1262" s="2">
        <v>42549</v>
      </c>
      <c r="E1262" s="1" t="s">
        <v>18</v>
      </c>
      <c r="F1262" t="str">
        <f>HYPERLINK("http://www.sec.gov/Archives/edgar/data/1124524/0001144204-16-110227-index.html")</f>
        <v>http://www.sec.gov/Archives/edgar/data/1124524/0001144204-16-110227-index.html</v>
      </c>
    </row>
    <row r="1263" spans="1:6" x14ac:dyDescent="0.2">
      <c r="A1263" t="s">
        <v>1172</v>
      </c>
      <c r="B1263" s="1">
        <v>1236424</v>
      </c>
      <c r="C1263" s="1">
        <v>6189</v>
      </c>
      <c r="D1263" s="2">
        <v>42549</v>
      </c>
      <c r="E1263" s="1" t="s">
        <v>18</v>
      </c>
      <c r="F1263" t="str">
        <f>HYPERLINK("http://www.sec.gov/Archives/edgar/data/1236424/0001540639-16-000658-index.html")</f>
        <v>http://www.sec.gov/Archives/edgar/data/1236424/0001540639-16-000658-index.html</v>
      </c>
    </row>
    <row r="1264" spans="1:6" x14ac:dyDescent="0.2">
      <c r="A1264" t="s">
        <v>1173</v>
      </c>
      <c r="B1264" s="1">
        <v>1237746</v>
      </c>
      <c r="C1264" s="1">
        <v>7372</v>
      </c>
      <c r="D1264" s="2">
        <v>42549</v>
      </c>
      <c r="E1264" s="1" t="s">
        <v>42</v>
      </c>
      <c r="F1264" t="str">
        <f>HYPERLINK("http://www.sec.gov/Archives/edgar/data/1237746/0001193125-16-634701-index.html")</f>
        <v>http://www.sec.gov/Archives/edgar/data/1237746/0001193125-16-634701-index.html</v>
      </c>
    </row>
    <row r="1265" spans="1:6" x14ac:dyDescent="0.2">
      <c r="A1265" t="s">
        <v>957</v>
      </c>
      <c r="B1265" s="1">
        <v>1287900</v>
      </c>
      <c r="C1265" s="1">
        <v>1311</v>
      </c>
      <c r="D1265" s="2">
        <v>42549</v>
      </c>
      <c r="E1265" s="1" t="s">
        <v>42</v>
      </c>
      <c r="F1265" t="str">
        <f>HYPERLINK("http://www.sec.gov/Archives/edgar/data/1287900/0001493152-16-011098-index.html")</f>
        <v>http://www.sec.gov/Archives/edgar/data/1287900/0001493152-16-011098-index.html</v>
      </c>
    </row>
    <row r="1266" spans="1:6" x14ac:dyDescent="0.2">
      <c r="A1266" t="s">
        <v>1174</v>
      </c>
      <c r="B1266" s="1">
        <v>1328792</v>
      </c>
      <c r="C1266" s="1">
        <v>3440</v>
      </c>
      <c r="D1266" s="2">
        <v>42549</v>
      </c>
      <c r="E1266" s="1" t="s">
        <v>18</v>
      </c>
      <c r="F1266" t="str">
        <f>HYPERLINK("http://www.sec.gov/Archives/edgar/data/1328792/0000950159-16-000639-index.html")</f>
        <v>http://www.sec.gov/Archives/edgar/data/1328792/0000950159-16-000639-index.html</v>
      </c>
    </row>
    <row r="1267" spans="1:6" x14ac:dyDescent="0.2">
      <c r="A1267" t="s">
        <v>1175</v>
      </c>
      <c r="B1267" s="1">
        <v>1403085</v>
      </c>
      <c r="C1267" s="1">
        <v>5960</v>
      </c>
      <c r="D1267" s="2">
        <v>42549</v>
      </c>
      <c r="E1267" s="1" t="s">
        <v>18</v>
      </c>
      <c r="F1267" t="str">
        <f>HYPERLINK("http://www.sec.gov/Archives/edgar/data/1403085/0001628280-16-017399-index.html")</f>
        <v>http://www.sec.gov/Archives/edgar/data/1403085/0001628280-16-017399-index.html</v>
      </c>
    </row>
    <row r="1268" spans="1:6" x14ac:dyDescent="0.2">
      <c r="A1268" t="s">
        <v>1176</v>
      </c>
      <c r="B1268" s="1">
        <v>1413263</v>
      </c>
      <c r="C1268" s="1">
        <v>2833</v>
      </c>
      <c r="D1268" s="2">
        <v>42549</v>
      </c>
      <c r="E1268" s="1" t="s">
        <v>18</v>
      </c>
      <c r="F1268" t="str">
        <f>HYPERLINK("http://www.sec.gov/Archives/edgar/data/1413263/0001213900-16-014551-index.html")</f>
        <v>http://www.sec.gov/Archives/edgar/data/1413263/0001213900-16-014551-index.html</v>
      </c>
    </row>
    <row r="1269" spans="1:6" x14ac:dyDescent="0.2">
      <c r="A1269" t="s">
        <v>1177</v>
      </c>
      <c r="B1269" s="1">
        <v>1445541</v>
      </c>
      <c r="C1269" s="1">
        <v>1000</v>
      </c>
      <c r="D1269" s="2">
        <v>42549</v>
      </c>
      <c r="E1269" s="1" t="s">
        <v>18</v>
      </c>
      <c r="F1269" t="str">
        <f>HYPERLINK("http://www.sec.gov/Archives/edgar/data/1445541/0001552781-16-001793-index.html")</f>
        <v>http://www.sec.gov/Archives/edgar/data/1445541/0001552781-16-001793-index.html</v>
      </c>
    </row>
    <row r="1270" spans="1:6" x14ac:dyDescent="0.2">
      <c r="A1270" t="s">
        <v>1178</v>
      </c>
      <c r="B1270" s="1">
        <v>1479000</v>
      </c>
      <c r="C1270" s="1">
        <v>1381</v>
      </c>
      <c r="D1270" s="2">
        <v>42549</v>
      </c>
      <c r="E1270" s="1" t="s">
        <v>18</v>
      </c>
      <c r="F1270" t="str">
        <f>HYPERLINK("http://www.sec.gov/Archives/edgar/data/1479000/0001264931-16-000368-index.html")</f>
        <v>http://www.sec.gov/Archives/edgar/data/1479000/0001264931-16-000368-index.html</v>
      </c>
    </row>
    <row r="1271" spans="1:6" x14ac:dyDescent="0.2">
      <c r="A1271" t="s">
        <v>1179</v>
      </c>
      <c r="B1271" s="1">
        <v>1533615</v>
      </c>
      <c r="C1271" s="1">
        <v>6798</v>
      </c>
      <c r="D1271" s="2">
        <v>42549</v>
      </c>
      <c r="E1271" s="1" t="s">
        <v>42</v>
      </c>
      <c r="F1271" t="str">
        <f>HYPERLINK("http://www.sec.gov/Archives/edgar/data/1533615/0001144204-16-110151-index.html")</f>
        <v>http://www.sec.gov/Archives/edgar/data/1533615/0001144204-16-110151-index.html</v>
      </c>
    </row>
    <row r="1272" spans="1:6" x14ac:dyDescent="0.2">
      <c r="A1272" t="s">
        <v>399</v>
      </c>
      <c r="B1272" s="1">
        <v>1556179</v>
      </c>
      <c r="C1272" s="1">
        <v>7380</v>
      </c>
      <c r="D1272" s="2">
        <v>42549</v>
      </c>
      <c r="E1272" s="1" t="s">
        <v>21</v>
      </c>
      <c r="F1272" t="str">
        <f>HYPERLINK("http://www.sec.gov/Archives/edgar/data/1556179/0001144204-16-110105-index.html")</f>
        <v>http://www.sec.gov/Archives/edgar/data/1556179/0001144204-16-110105-index.html</v>
      </c>
    </row>
    <row r="1273" spans="1:6" x14ac:dyDescent="0.2">
      <c r="A1273" t="s">
        <v>1180</v>
      </c>
      <c r="B1273" s="1">
        <v>1592407</v>
      </c>
      <c r="C1273" s="1">
        <v>6035</v>
      </c>
      <c r="D1273" s="2">
        <v>42549</v>
      </c>
      <c r="E1273" s="1" t="s">
        <v>18</v>
      </c>
      <c r="F1273" t="str">
        <f>HYPERLINK("http://www.sec.gov/Archives/edgar/data/1592407/0001144204-16-110285-index.html")</f>
        <v>http://www.sec.gov/Archives/edgar/data/1592407/0001144204-16-110285-index.html</v>
      </c>
    </row>
    <row r="1274" spans="1:6" x14ac:dyDescent="0.2">
      <c r="A1274" t="s">
        <v>1181</v>
      </c>
      <c r="B1274" s="1">
        <v>1609434</v>
      </c>
      <c r="C1274" s="1">
        <v>6189</v>
      </c>
      <c r="D1274" s="2">
        <v>42549</v>
      </c>
      <c r="E1274" s="1" t="s">
        <v>18</v>
      </c>
      <c r="F1274" t="str">
        <f>HYPERLINK("http://www.sec.gov/Archives/edgar/data/1609434/0001540639-16-000659-index.html")</f>
        <v>http://www.sec.gov/Archives/edgar/data/1609434/0001540639-16-000659-index.html</v>
      </c>
    </row>
    <row r="1275" spans="1:6" x14ac:dyDescent="0.2">
      <c r="A1275" t="s">
        <v>434</v>
      </c>
      <c r="B1275" s="1">
        <v>1610853</v>
      </c>
      <c r="C1275" s="1">
        <v>3845</v>
      </c>
      <c r="D1275" s="2">
        <v>42549</v>
      </c>
      <c r="E1275" s="1" t="s">
        <v>18</v>
      </c>
      <c r="F1275" t="str">
        <f>HYPERLINK("http://www.sec.gov/Archives/edgar/data/1610853/0001062993-16-010330-index.html")</f>
        <v>http://www.sec.gov/Archives/edgar/data/1610853/0001062993-16-010330-index.html</v>
      </c>
    </row>
    <row r="1276" spans="1:6" x14ac:dyDescent="0.2">
      <c r="A1276" t="s">
        <v>1182</v>
      </c>
      <c r="B1276" s="1">
        <v>1613103</v>
      </c>
      <c r="C1276" s="1">
        <v>3845</v>
      </c>
      <c r="D1276" s="2">
        <v>42549</v>
      </c>
      <c r="E1276" s="1" t="s">
        <v>18</v>
      </c>
      <c r="F1276" t="str">
        <f>HYPERLINK("http://www.sec.gov/Archives/edgar/data/1613103/0001613103-16-000093-index.html")</f>
        <v>http://www.sec.gov/Archives/edgar/data/1613103/0001613103-16-000093-index.html</v>
      </c>
    </row>
    <row r="1277" spans="1:6" x14ac:dyDescent="0.2">
      <c r="A1277" t="s">
        <v>1183</v>
      </c>
      <c r="B1277" s="1">
        <v>1621364</v>
      </c>
      <c r="C1277" s="1">
        <v>6189</v>
      </c>
      <c r="D1277" s="2">
        <v>42549</v>
      </c>
      <c r="E1277" s="1" t="s">
        <v>18</v>
      </c>
      <c r="F1277" t="str">
        <f>HYPERLINK("http://www.sec.gov/Archives/edgar/data/1621364/0001540639-16-000660-index.html")</f>
        <v>http://www.sec.gov/Archives/edgar/data/1621364/0001540639-16-000660-index.html</v>
      </c>
    </row>
    <row r="1278" spans="1:6" x14ac:dyDescent="0.2">
      <c r="A1278" t="s">
        <v>1184</v>
      </c>
      <c r="B1278" s="1">
        <v>1643660</v>
      </c>
      <c r="C1278" s="1">
        <v>6189</v>
      </c>
      <c r="D1278" s="2">
        <v>42549</v>
      </c>
      <c r="E1278" s="1" t="s">
        <v>18</v>
      </c>
      <c r="F1278" t="str">
        <f>HYPERLINK("http://www.sec.gov/Archives/edgar/data/1643660/0001540639-16-000661-index.html")</f>
        <v>http://www.sec.gov/Archives/edgar/data/1643660/0001540639-16-000661-index.html</v>
      </c>
    </row>
    <row r="1279" spans="1:6" x14ac:dyDescent="0.2">
      <c r="A1279" t="s">
        <v>1185</v>
      </c>
      <c r="B1279" s="1">
        <v>1656742</v>
      </c>
      <c r="C1279" s="1">
        <v>6189</v>
      </c>
      <c r="D1279" s="2">
        <v>42549</v>
      </c>
      <c r="E1279" s="1" t="s">
        <v>18</v>
      </c>
      <c r="F1279" t="str">
        <f>HYPERLINK("http://www.sec.gov/Archives/edgar/data/1656742/0001540639-16-000662-index.html")</f>
        <v>http://www.sec.gov/Archives/edgar/data/1656742/0001540639-16-000662-index.html</v>
      </c>
    </row>
    <row r="1280" spans="1:6" x14ac:dyDescent="0.2">
      <c r="A1280" t="s">
        <v>1186</v>
      </c>
      <c r="B1280" s="1">
        <v>56679</v>
      </c>
      <c r="C1280" s="1">
        <v>7361</v>
      </c>
      <c r="D1280" s="2">
        <v>42549</v>
      </c>
      <c r="E1280" s="1" t="s">
        <v>18</v>
      </c>
      <c r="F1280" t="str">
        <f>HYPERLINK("http://www.sec.gov/Archives/edgar/data/56679/0001193125-16-634657-index.html")</f>
        <v>http://www.sec.gov/Archives/edgar/data/56679/0001193125-16-634657-index.html</v>
      </c>
    </row>
    <row r="1281" spans="1:6" x14ac:dyDescent="0.2">
      <c r="A1281" t="s">
        <v>1187</v>
      </c>
      <c r="B1281" s="1">
        <v>1011060</v>
      </c>
      <c r="C1281" s="1">
        <v>3841</v>
      </c>
      <c r="D1281" s="2">
        <v>42548</v>
      </c>
      <c r="E1281" s="1" t="s">
        <v>18</v>
      </c>
      <c r="F1281" t="str">
        <f>HYPERLINK("http://www.sec.gov/Archives/edgar/data/1011060/0001011060-16-000038-index.html")</f>
        <v>http://www.sec.gov/Archives/edgar/data/1011060/0001011060-16-000038-index.html</v>
      </c>
    </row>
    <row r="1282" spans="1:6" x14ac:dyDescent="0.2">
      <c r="A1282" t="s">
        <v>1188</v>
      </c>
      <c r="B1282" s="1">
        <v>1182534</v>
      </c>
      <c r="C1282" s="1">
        <v>6189</v>
      </c>
      <c r="D1282" s="2">
        <v>42548</v>
      </c>
      <c r="E1282" s="1" t="s">
        <v>42</v>
      </c>
      <c r="F1282" t="str">
        <f>HYPERLINK("http://www.sec.gov/Archives/edgar/data/1182534/0001193125-16-633154-index.html")</f>
        <v>http://www.sec.gov/Archives/edgar/data/1182534/0001193125-16-633154-index.html</v>
      </c>
    </row>
    <row r="1283" spans="1:6" x14ac:dyDescent="0.2">
      <c r="A1283" t="s">
        <v>1188</v>
      </c>
      <c r="B1283" s="1">
        <v>1182534</v>
      </c>
      <c r="C1283" s="1">
        <v>6189</v>
      </c>
      <c r="D1283" s="2">
        <v>42548</v>
      </c>
      <c r="E1283" s="1" t="s">
        <v>42</v>
      </c>
      <c r="F1283" t="str">
        <f>HYPERLINK("http://www.sec.gov/Archives/edgar/data/1182534/0001193125-16-633167-index.html")</f>
        <v>http://www.sec.gov/Archives/edgar/data/1182534/0001193125-16-633167-index.html</v>
      </c>
    </row>
    <row r="1284" spans="1:6" x14ac:dyDescent="0.2">
      <c r="A1284" t="s">
        <v>1188</v>
      </c>
      <c r="B1284" s="1">
        <v>1182534</v>
      </c>
      <c r="C1284" s="1">
        <v>6189</v>
      </c>
      <c r="D1284" s="2">
        <v>42548</v>
      </c>
      <c r="E1284" s="1" t="s">
        <v>42</v>
      </c>
      <c r="F1284" t="str">
        <f>HYPERLINK("http://www.sec.gov/Archives/edgar/data/1182534/0001193125-16-633192-index.html")</f>
        <v>http://www.sec.gov/Archives/edgar/data/1182534/0001193125-16-633192-index.html</v>
      </c>
    </row>
    <row r="1285" spans="1:6" x14ac:dyDescent="0.2">
      <c r="A1285" t="s">
        <v>1189</v>
      </c>
      <c r="B1285" s="1">
        <v>1438901</v>
      </c>
      <c r="C1285" s="1">
        <v>7389</v>
      </c>
      <c r="D1285" s="2">
        <v>42548</v>
      </c>
      <c r="E1285" s="1" t="s">
        <v>18</v>
      </c>
      <c r="F1285" t="str">
        <f>HYPERLINK("http://www.sec.gov/Archives/edgar/data/1438901/0001121781-16-000495-index.html")</f>
        <v>http://www.sec.gov/Archives/edgar/data/1438901/0001121781-16-000495-index.html</v>
      </c>
    </row>
    <row r="1286" spans="1:6" x14ac:dyDescent="0.2">
      <c r="A1286" t="s">
        <v>1190</v>
      </c>
      <c r="B1286" s="1">
        <v>1499961</v>
      </c>
      <c r="C1286" s="1">
        <v>7374</v>
      </c>
      <c r="D1286" s="2">
        <v>42548</v>
      </c>
      <c r="E1286" s="1" t="s">
        <v>42</v>
      </c>
      <c r="F1286" t="str">
        <f>HYPERLINK("http://www.sec.gov/Archives/edgar/data/1499961/0001144204-16-109907-index.html")</f>
        <v>http://www.sec.gov/Archives/edgar/data/1499961/0001144204-16-109907-index.html</v>
      </c>
    </row>
    <row r="1287" spans="1:6" x14ac:dyDescent="0.2">
      <c r="A1287" t="s">
        <v>57</v>
      </c>
      <c r="B1287" s="1">
        <v>1518720</v>
      </c>
      <c r="C1287" s="1">
        <v>5990</v>
      </c>
      <c r="D1287" s="2">
        <v>42548</v>
      </c>
      <c r="E1287" s="1" t="s">
        <v>18</v>
      </c>
      <c r="F1287" t="str">
        <f>HYPERLINK("http://www.sec.gov/Archives/edgar/data/1518720/0001511164-16-000921-index.html")</f>
        <v>http://www.sec.gov/Archives/edgar/data/1518720/0001511164-16-000921-index.html</v>
      </c>
    </row>
    <row r="1288" spans="1:6" x14ac:dyDescent="0.2">
      <c r="A1288" t="s">
        <v>1191</v>
      </c>
      <c r="B1288" s="1">
        <v>1558806</v>
      </c>
      <c r="C1288" s="1">
        <v>6189</v>
      </c>
      <c r="D1288" s="2">
        <v>42548</v>
      </c>
      <c r="E1288" s="1" t="s">
        <v>42</v>
      </c>
      <c r="F1288" t="str">
        <f>HYPERLINK("http://www.sec.gov/Archives/edgar/data/1558806/0001193125-16-633192-index.html")</f>
        <v>http://www.sec.gov/Archives/edgar/data/1558806/0001193125-16-633192-index.html</v>
      </c>
    </row>
    <row r="1289" spans="1:6" x14ac:dyDescent="0.2">
      <c r="A1289" t="s">
        <v>1192</v>
      </c>
      <c r="B1289" s="1">
        <v>1598397</v>
      </c>
      <c r="C1289" s="1">
        <v>6189</v>
      </c>
      <c r="D1289" s="2">
        <v>42548</v>
      </c>
      <c r="E1289" s="1" t="s">
        <v>42</v>
      </c>
      <c r="F1289" t="str">
        <f>HYPERLINK("http://www.sec.gov/Archives/edgar/data/1598397/0001193125-16-633167-index.html")</f>
        <v>http://www.sec.gov/Archives/edgar/data/1598397/0001193125-16-633167-index.html</v>
      </c>
    </row>
    <row r="1290" spans="1:6" x14ac:dyDescent="0.2">
      <c r="A1290" t="s">
        <v>1193</v>
      </c>
      <c r="B1290" s="1">
        <v>1603793</v>
      </c>
      <c r="C1290" s="1">
        <v>1311</v>
      </c>
      <c r="D1290" s="2">
        <v>42548</v>
      </c>
      <c r="E1290" s="1" t="s">
        <v>18</v>
      </c>
      <c r="F1290" t="str">
        <f>HYPERLINK("http://www.sec.gov/Archives/edgar/data/1603793/0001493152-16-011086-index.html")</f>
        <v>http://www.sec.gov/Archives/edgar/data/1603793/0001493152-16-011086-index.html</v>
      </c>
    </row>
    <row r="1291" spans="1:6" x14ac:dyDescent="0.2">
      <c r="A1291" t="s">
        <v>1194</v>
      </c>
      <c r="B1291" s="1">
        <v>1631989</v>
      </c>
      <c r="C1291" s="1">
        <v>6189</v>
      </c>
      <c r="D1291" s="2">
        <v>42548</v>
      </c>
      <c r="E1291" s="1" t="s">
        <v>42</v>
      </c>
      <c r="F1291" t="str">
        <f>HYPERLINK("http://www.sec.gov/Archives/edgar/data/1631989/0001193125-16-633154-index.html")</f>
        <v>http://www.sec.gov/Archives/edgar/data/1631989/0001193125-16-633154-index.html</v>
      </c>
    </row>
    <row r="1292" spans="1:6" x14ac:dyDescent="0.2">
      <c r="A1292" t="s">
        <v>1195</v>
      </c>
      <c r="B1292" s="1">
        <v>726958</v>
      </c>
      <c r="C1292" s="1">
        <v>5500</v>
      </c>
      <c r="D1292" s="2">
        <v>42548</v>
      </c>
      <c r="E1292" s="1" t="s">
        <v>18</v>
      </c>
      <c r="F1292" t="str">
        <f>HYPERLINK("http://www.sec.gov/Archives/edgar/data/726958/0000726958-16-000258-index.html")</f>
        <v>http://www.sec.gov/Archives/edgar/data/726958/0000726958-16-000258-index.html</v>
      </c>
    </row>
    <row r="1293" spans="1:6" x14ac:dyDescent="0.2">
      <c r="A1293" t="s">
        <v>1196</v>
      </c>
      <c r="B1293" s="1">
        <v>864509</v>
      </c>
      <c r="C1293" s="1">
        <v>7381</v>
      </c>
      <c r="D1293" s="2">
        <v>42548</v>
      </c>
      <c r="E1293" s="1" t="s">
        <v>18</v>
      </c>
      <c r="F1293" t="str">
        <f>HYPERLINK("http://www.sec.gov/Archives/edgar/data/864509/0001144204-16-109887-index.html")</f>
        <v>http://www.sec.gov/Archives/edgar/data/864509/0001144204-16-109887-index.html</v>
      </c>
    </row>
    <row r="1294" spans="1:6" x14ac:dyDescent="0.2">
      <c r="A1294" t="s">
        <v>1197</v>
      </c>
      <c r="B1294" s="1">
        <v>866609</v>
      </c>
      <c r="C1294" s="1">
        <v>1382</v>
      </c>
      <c r="D1294" s="2">
        <v>42548</v>
      </c>
      <c r="E1294" s="1" t="s">
        <v>42</v>
      </c>
      <c r="F1294" t="str">
        <f>HYPERLINK("http://www.sec.gov/Archives/edgar/data/866609/0001628280-16-017368-index.html")</f>
        <v>http://www.sec.gov/Archives/edgar/data/866609/0001628280-16-017368-index.html</v>
      </c>
    </row>
    <row r="1295" spans="1:6" x14ac:dyDescent="0.2">
      <c r="A1295" t="s">
        <v>1198</v>
      </c>
      <c r="B1295" s="1">
        <v>1084332</v>
      </c>
      <c r="C1295" s="1">
        <v>7310</v>
      </c>
      <c r="D1295" s="2">
        <v>42545</v>
      </c>
      <c r="E1295" s="1" t="s">
        <v>18</v>
      </c>
      <c r="F1295" t="str">
        <f>HYPERLINK("http://www.sec.gov/Archives/edgar/data/1084332/0001437749-16-034380-index.html")</f>
        <v>http://www.sec.gov/Archives/edgar/data/1084332/0001437749-16-034380-index.html</v>
      </c>
    </row>
    <row r="1296" spans="1:6" x14ac:dyDescent="0.2">
      <c r="A1296" t="s">
        <v>1199</v>
      </c>
      <c r="B1296" s="1">
        <v>1132509</v>
      </c>
      <c r="C1296" s="1">
        <v>8741</v>
      </c>
      <c r="D1296" s="2">
        <v>42545</v>
      </c>
      <c r="E1296" s="1" t="s">
        <v>18</v>
      </c>
      <c r="F1296" t="str">
        <f>HYPERLINK("http://www.sec.gov/Archives/edgar/data/1132509/0001477932-16-011015-index.html")</f>
        <v>http://www.sec.gov/Archives/edgar/data/1132509/0001477932-16-011015-index.html</v>
      </c>
    </row>
    <row r="1297" spans="1:6" x14ac:dyDescent="0.2">
      <c r="A1297" t="s">
        <v>1200</v>
      </c>
      <c r="B1297" s="1">
        <v>1411685</v>
      </c>
      <c r="C1297" s="1">
        <v>2834</v>
      </c>
      <c r="D1297" s="2">
        <v>42545</v>
      </c>
      <c r="E1297" s="1" t="s">
        <v>18</v>
      </c>
      <c r="F1297" t="str">
        <f>HYPERLINK("http://www.sec.gov/Archives/edgar/data/1411685/0001415889-16-006331-index.html")</f>
        <v>http://www.sec.gov/Archives/edgar/data/1411685/0001415889-16-006331-index.html</v>
      </c>
    </row>
    <row r="1298" spans="1:6" x14ac:dyDescent="0.2">
      <c r="A1298" t="s">
        <v>1201</v>
      </c>
      <c r="B1298" s="1">
        <v>1438943</v>
      </c>
      <c r="C1298" s="1">
        <v>8731</v>
      </c>
      <c r="D1298" s="2">
        <v>42545</v>
      </c>
      <c r="E1298" s="1" t="s">
        <v>18</v>
      </c>
      <c r="F1298" t="str">
        <f>HYPERLINK("http://www.sec.gov/Archives/edgar/data/1438943/0001438943-16-000026-index.html")</f>
        <v>http://www.sec.gov/Archives/edgar/data/1438943/0001438943-16-000026-index.html</v>
      </c>
    </row>
    <row r="1299" spans="1:6" x14ac:dyDescent="0.2">
      <c r="A1299" t="s">
        <v>1202</v>
      </c>
      <c r="B1299" s="1">
        <v>1472847</v>
      </c>
      <c r="C1299" s="1">
        <v>7389</v>
      </c>
      <c r="D1299" s="2">
        <v>42545</v>
      </c>
      <c r="E1299" s="1" t="s">
        <v>42</v>
      </c>
      <c r="F1299" t="str">
        <f>HYPERLINK("http://www.sec.gov/Archives/edgar/data/1472847/0001615774-16-006070-index.html")</f>
        <v>http://www.sec.gov/Archives/edgar/data/1472847/0001615774-16-006070-index.html</v>
      </c>
    </row>
    <row r="1300" spans="1:6" x14ac:dyDescent="0.2">
      <c r="A1300" t="s">
        <v>1203</v>
      </c>
      <c r="B1300" s="1">
        <v>1617431</v>
      </c>
      <c r="C1300" s="1">
        <v>5960</v>
      </c>
      <c r="D1300" s="2">
        <v>42545</v>
      </c>
      <c r="E1300" s="1" t="s">
        <v>18</v>
      </c>
      <c r="F1300" t="str">
        <f>HYPERLINK("http://www.sec.gov/Archives/edgar/data/1617431/0001354488-16-007890-index.html")</f>
        <v>http://www.sec.gov/Archives/edgar/data/1617431/0001354488-16-007890-index.html</v>
      </c>
    </row>
    <row r="1301" spans="1:6" x14ac:dyDescent="0.2">
      <c r="A1301" t="s">
        <v>1204</v>
      </c>
      <c r="B1301" s="1">
        <v>1643301</v>
      </c>
      <c r="C1301" s="1">
        <v>2673</v>
      </c>
      <c r="D1301" s="2">
        <v>42545</v>
      </c>
      <c r="E1301" s="1" t="s">
        <v>18</v>
      </c>
      <c r="F1301" t="str">
        <f>HYPERLINK("http://www.sec.gov/Archives/edgar/data/1643301/0001643301-16-000025-index.html")</f>
        <v>http://www.sec.gov/Archives/edgar/data/1643301/0001643301-16-000025-index.html</v>
      </c>
    </row>
    <row r="1302" spans="1:6" x14ac:dyDescent="0.2">
      <c r="A1302" t="s">
        <v>1205</v>
      </c>
      <c r="B1302" s="1">
        <v>1300524</v>
      </c>
      <c r="C1302" s="1">
        <v>1389</v>
      </c>
      <c r="D1302" s="2">
        <v>42544</v>
      </c>
      <c r="E1302" s="1" t="s">
        <v>18</v>
      </c>
      <c r="F1302" t="str">
        <f>HYPERLINK("http://www.sec.gov/Archives/edgar/data/1300524/0001185185-16-004855-index.html")</f>
        <v>http://www.sec.gov/Archives/edgar/data/1300524/0001185185-16-004855-index.html</v>
      </c>
    </row>
    <row r="1303" spans="1:6" x14ac:dyDescent="0.2">
      <c r="A1303" t="s">
        <v>1206</v>
      </c>
      <c r="B1303" s="1">
        <v>1302215</v>
      </c>
      <c r="C1303" s="1">
        <v>6282</v>
      </c>
      <c r="D1303" s="2">
        <v>42544</v>
      </c>
      <c r="E1303" s="1" t="s">
        <v>18</v>
      </c>
      <c r="F1303" t="str">
        <f>HYPERLINK("http://www.sec.gov/Archives/edgar/data/1302215/0001302215-16-000050-index.html")</f>
        <v>http://www.sec.gov/Archives/edgar/data/1302215/0001302215-16-000050-index.html</v>
      </c>
    </row>
    <row r="1304" spans="1:6" x14ac:dyDescent="0.2">
      <c r="A1304" t="s">
        <v>1207</v>
      </c>
      <c r="B1304" s="1">
        <v>1372183</v>
      </c>
      <c r="C1304" s="1">
        <v>7310</v>
      </c>
      <c r="D1304" s="2">
        <v>42544</v>
      </c>
      <c r="E1304" s="1" t="s">
        <v>18</v>
      </c>
      <c r="F1304" t="str">
        <f>HYPERLINK("http://www.sec.gov/Archives/edgar/data/1372183/0001580695-16-000529-index.html")</f>
        <v>http://www.sec.gov/Archives/edgar/data/1372183/0001580695-16-000529-index.html</v>
      </c>
    </row>
    <row r="1305" spans="1:6" x14ac:dyDescent="0.2">
      <c r="A1305" t="s">
        <v>1208</v>
      </c>
      <c r="B1305" s="1">
        <v>1409375</v>
      </c>
      <c r="C1305" s="1">
        <v>3640</v>
      </c>
      <c r="D1305" s="2">
        <v>42544</v>
      </c>
      <c r="E1305" s="1" t="s">
        <v>18</v>
      </c>
      <c r="F1305" t="str">
        <f>HYPERLINK("http://www.sec.gov/Archives/edgar/data/1409375/0001409375-16-000039-index.html")</f>
        <v>http://www.sec.gov/Archives/edgar/data/1409375/0001409375-16-000039-index.html</v>
      </c>
    </row>
    <row r="1306" spans="1:6" x14ac:dyDescent="0.2">
      <c r="A1306" t="s">
        <v>1209</v>
      </c>
      <c r="B1306" s="1">
        <v>1549785</v>
      </c>
      <c r="C1306" s="1">
        <v>6189</v>
      </c>
      <c r="D1306" s="2">
        <v>42544</v>
      </c>
      <c r="E1306" s="1" t="s">
        <v>18</v>
      </c>
      <c r="F1306" t="str">
        <f>HYPERLINK("http://www.sec.gov/Archives/edgar/data/1549785/0001193125-16-630178-index.html")</f>
        <v>http://www.sec.gov/Archives/edgar/data/1549785/0001193125-16-630178-index.html</v>
      </c>
    </row>
    <row r="1307" spans="1:6" x14ac:dyDescent="0.2">
      <c r="A1307" t="s">
        <v>1209</v>
      </c>
      <c r="B1307" s="1">
        <v>1549785</v>
      </c>
      <c r="C1307" s="1">
        <v>6189</v>
      </c>
      <c r="D1307" s="2">
        <v>42544</v>
      </c>
      <c r="E1307" s="1" t="s">
        <v>18</v>
      </c>
      <c r="F1307" t="str">
        <f>HYPERLINK("http://www.sec.gov/Archives/edgar/data/1549785/0001193125-16-630179-index.html")</f>
        <v>http://www.sec.gov/Archives/edgar/data/1549785/0001193125-16-630179-index.html</v>
      </c>
    </row>
    <row r="1308" spans="1:6" x14ac:dyDescent="0.2">
      <c r="A1308" t="s">
        <v>1209</v>
      </c>
      <c r="B1308" s="1">
        <v>1549785</v>
      </c>
      <c r="C1308" s="1">
        <v>6189</v>
      </c>
      <c r="D1308" s="2">
        <v>42544</v>
      </c>
      <c r="E1308" s="1" t="s">
        <v>18</v>
      </c>
      <c r="F1308" t="str">
        <f>HYPERLINK("http://www.sec.gov/Archives/edgar/data/1549785/0001193125-16-630183-index.html")</f>
        <v>http://www.sec.gov/Archives/edgar/data/1549785/0001193125-16-630183-index.html</v>
      </c>
    </row>
    <row r="1309" spans="1:6" x14ac:dyDescent="0.2">
      <c r="A1309" t="s">
        <v>1209</v>
      </c>
      <c r="B1309" s="1">
        <v>1549785</v>
      </c>
      <c r="C1309" s="1">
        <v>6189</v>
      </c>
      <c r="D1309" s="2">
        <v>42544</v>
      </c>
      <c r="E1309" s="1" t="s">
        <v>18</v>
      </c>
      <c r="F1309" t="str">
        <f>HYPERLINK("http://www.sec.gov/Archives/edgar/data/1549785/0001193125-16-630187-index.html")</f>
        <v>http://www.sec.gov/Archives/edgar/data/1549785/0001193125-16-630187-index.html</v>
      </c>
    </row>
    <row r="1310" spans="1:6" x14ac:dyDescent="0.2">
      <c r="A1310" t="s">
        <v>1209</v>
      </c>
      <c r="B1310" s="1">
        <v>1549785</v>
      </c>
      <c r="C1310" s="1">
        <v>6189</v>
      </c>
      <c r="D1310" s="2">
        <v>42544</v>
      </c>
      <c r="E1310" s="1" t="s">
        <v>18</v>
      </c>
      <c r="F1310" t="str">
        <f>HYPERLINK("http://www.sec.gov/Archives/edgar/data/1549785/0001193125-16-630199-index.html")</f>
        <v>http://www.sec.gov/Archives/edgar/data/1549785/0001193125-16-630199-index.html</v>
      </c>
    </row>
    <row r="1311" spans="1:6" x14ac:dyDescent="0.2">
      <c r="A1311" t="s">
        <v>1209</v>
      </c>
      <c r="B1311" s="1">
        <v>1549785</v>
      </c>
      <c r="C1311" s="1">
        <v>6189</v>
      </c>
      <c r="D1311" s="2">
        <v>42544</v>
      </c>
      <c r="E1311" s="1" t="s">
        <v>18</v>
      </c>
      <c r="F1311" t="str">
        <f>HYPERLINK("http://www.sec.gov/Archives/edgar/data/1549785/0001193125-16-630205-index.html")</f>
        <v>http://www.sec.gov/Archives/edgar/data/1549785/0001193125-16-630205-index.html</v>
      </c>
    </row>
    <row r="1312" spans="1:6" x14ac:dyDescent="0.2">
      <c r="A1312" t="s">
        <v>1210</v>
      </c>
      <c r="B1312" s="1">
        <v>1556148</v>
      </c>
      <c r="C1312" s="1">
        <v>7372</v>
      </c>
      <c r="D1312" s="2">
        <v>42544</v>
      </c>
      <c r="E1312" s="1" t="s">
        <v>18</v>
      </c>
      <c r="F1312" t="str">
        <f>HYPERLINK("http://www.sec.gov/Archives/edgar/data/1556148/0001193125-16-629549-index.html")</f>
        <v>http://www.sec.gov/Archives/edgar/data/1556148/0001193125-16-629549-index.html</v>
      </c>
    </row>
    <row r="1313" spans="1:6" x14ac:dyDescent="0.2">
      <c r="A1313" t="s">
        <v>1211</v>
      </c>
      <c r="B1313" s="1">
        <v>1559445</v>
      </c>
      <c r="C1313" s="1">
        <v>6189</v>
      </c>
      <c r="D1313" s="2">
        <v>42544</v>
      </c>
      <c r="E1313" s="1" t="s">
        <v>18</v>
      </c>
      <c r="F1313" t="str">
        <f>HYPERLINK("http://www.sec.gov/Archives/edgar/data/1559445/0001193125-16-630187-index.html")</f>
        <v>http://www.sec.gov/Archives/edgar/data/1559445/0001193125-16-630187-index.html</v>
      </c>
    </row>
    <row r="1314" spans="1:6" x14ac:dyDescent="0.2">
      <c r="A1314" t="s">
        <v>1212</v>
      </c>
      <c r="B1314" s="1">
        <v>1566623</v>
      </c>
      <c r="C1314" s="1">
        <v>6189</v>
      </c>
      <c r="D1314" s="2">
        <v>42544</v>
      </c>
      <c r="E1314" s="1" t="s">
        <v>18</v>
      </c>
      <c r="F1314" t="str">
        <f>HYPERLINK("http://www.sec.gov/Archives/edgar/data/1566623/0001193125-16-630205-index.html")</f>
        <v>http://www.sec.gov/Archives/edgar/data/1566623/0001193125-16-630205-index.html</v>
      </c>
    </row>
    <row r="1315" spans="1:6" x14ac:dyDescent="0.2">
      <c r="A1315" t="s">
        <v>1213</v>
      </c>
      <c r="B1315" s="1">
        <v>1576441</v>
      </c>
      <c r="C1315" s="1">
        <v>6189</v>
      </c>
      <c r="D1315" s="2">
        <v>42544</v>
      </c>
      <c r="E1315" s="1" t="s">
        <v>18</v>
      </c>
      <c r="F1315" t="str">
        <f>HYPERLINK("http://www.sec.gov/Archives/edgar/data/1576441/0001193125-16-630178-index.html")</f>
        <v>http://www.sec.gov/Archives/edgar/data/1576441/0001193125-16-630178-index.html</v>
      </c>
    </row>
    <row r="1316" spans="1:6" x14ac:dyDescent="0.2">
      <c r="A1316" t="s">
        <v>1214</v>
      </c>
      <c r="B1316" s="1">
        <v>1601385</v>
      </c>
      <c r="C1316" s="1">
        <v>6189</v>
      </c>
      <c r="D1316" s="2">
        <v>42544</v>
      </c>
      <c r="E1316" s="1" t="s">
        <v>18</v>
      </c>
      <c r="F1316" t="str">
        <f>HYPERLINK("http://www.sec.gov/Archives/edgar/data/1601385/0001193125-16-630183-index.html")</f>
        <v>http://www.sec.gov/Archives/edgar/data/1601385/0001193125-16-630183-index.html</v>
      </c>
    </row>
    <row r="1317" spans="1:6" x14ac:dyDescent="0.2">
      <c r="A1317" t="s">
        <v>1215</v>
      </c>
      <c r="B1317" s="1">
        <v>1635298</v>
      </c>
      <c r="C1317" s="1">
        <v>6189</v>
      </c>
      <c r="D1317" s="2">
        <v>42544</v>
      </c>
      <c r="E1317" s="1" t="s">
        <v>18</v>
      </c>
      <c r="F1317" t="str">
        <f>HYPERLINK("http://www.sec.gov/Archives/edgar/data/1635298/0001193125-16-630199-index.html")</f>
        <v>http://www.sec.gov/Archives/edgar/data/1635298/0001193125-16-630199-index.html</v>
      </c>
    </row>
    <row r="1318" spans="1:6" x14ac:dyDescent="0.2">
      <c r="A1318" t="s">
        <v>1216</v>
      </c>
      <c r="B1318" s="1">
        <v>1655514</v>
      </c>
      <c r="C1318" s="1">
        <v>6189</v>
      </c>
      <c r="D1318" s="2">
        <v>42544</v>
      </c>
      <c r="E1318" s="1" t="s">
        <v>18</v>
      </c>
      <c r="F1318" t="str">
        <f>HYPERLINK("http://www.sec.gov/Archives/edgar/data/1655514/0001193125-16-630179-index.html")</f>
        <v>http://www.sec.gov/Archives/edgar/data/1655514/0001193125-16-630179-index.html</v>
      </c>
    </row>
    <row r="1319" spans="1:6" x14ac:dyDescent="0.2">
      <c r="A1319" t="s">
        <v>1217</v>
      </c>
      <c r="B1319" s="1">
        <v>33769</v>
      </c>
      <c r="C1319" s="1">
        <v>5812</v>
      </c>
      <c r="D1319" s="2">
        <v>42544</v>
      </c>
      <c r="E1319" s="1" t="s">
        <v>18</v>
      </c>
      <c r="F1319" t="str">
        <f>HYPERLINK("http://www.sec.gov/Archives/edgar/data/33769/0000033769-16-000147-index.html")</f>
        <v>http://www.sec.gov/Archives/edgar/data/33769/0000033769-16-000147-index.html</v>
      </c>
    </row>
    <row r="1320" spans="1:6" x14ac:dyDescent="0.2">
      <c r="A1320" t="s">
        <v>1218</v>
      </c>
      <c r="B1320" s="1">
        <v>65270</v>
      </c>
      <c r="C1320" s="1">
        <v>3678</v>
      </c>
      <c r="D1320" s="2">
        <v>42544</v>
      </c>
      <c r="E1320" s="1" t="s">
        <v>18</v>
      </c>
      <c r="F1320" t="str">
        <f>HYPERLINK("http://www.sec.gov/Archives/edgar/data/65270/0000065270-16-000055-index.html")</f>
        <v>http://www.sec.gov/Archives/edgar/data/65270/0000065270-16-000055-index.html</v>
      </c>
    </row>
    <row r="1321" spans="1:6" x14ac:dyDescent="0.2">
      <c r="A1321" t="s">
        <v>1219</v>
      </c>
      <c r="B1321" s="1">
        <v>768408</v>
      </c>
      <c r="C1321" s="1">
        <v>2833</v>
      </c>
      <c r="D1321" s="2">
        <v>42544</v>
      </c>
      <c r="E1321" s="1" t="s">
        <v>18</v>
      </c>
      <c r="F1321" t="str">
        <f>HYPERLINK("http://www.sec.gov/Archives/edgar/data/768408/0001437749-16-034316-index.html")</f>
        <v>http://www.sec.gov/Archives/edgar/data/768408/0001437749-16-034316-index.html</v>
      </c>
    </row>
    <row r="1322" spans="1:6" x14ac:dyDescent="0.2">
      <c r="A1322" t="s">
        <v>1220</v>
      </c>
      <c r="B1322" s="1">
        <v>864270</v>
      </c>
      <c r="C1322" s="1">
        <v>6141</v>
      </c>
      <c r="D1322" s="2">
        <v>42544</v>
      </c>
      <c r="E1322" s="1" t="s">
        <v>18</v>
      </c>
      <c r="F1322" t="str">
        <f>HYPERLINK("http://www.sec.gov/Archives/edgar/data/864270/0001564590-16-020783-index.html")</f>
        <v>http://www.sec.gov/Archives/edgar/data/864270/0001564590-16-020783-index.html</v>
      </c>
    </row>
    <row r="1323" spans="1:6" x14ac:dyDescent="0.2">
      <c r="A1323" t="s">
        <v>1221</v>
      </c>
      <c r="B1323" s="1">
        <v>886328</v>
      </c>
      <c r="C1323" s="1">
        <v>3674</v>
      </c>
      <c r="D1323" s="2">
        <v>42544</v>
      </c>
      <c r="E1323" s="1" t="s">
        <v>18</v>
      </c>
      <c r="F1323" t="str">
        <f>HYPERLINK("http://www.sec.gov/Archives/edgar/data/886328/0001019687-16-006760-index.html")</f>
        <v>http://www.sec.gov/Archives/edgar/data/886328/0001019687-16-006760-index.html</v>
      </c>
    </row>
    <row r="1324" spans="1:6" x14ac:dyDescent="0.2">
      <c r="A1324" t="s">
        <v>1222</v>
      </c>
      <c r="B1324" s="1">
        <v>890491</v>
      </c>
      <c r="C1324" s="1">
        <v>5940</v>
      </c>
      <c r="D1324" s="2">
        <v>42544</v>
      </c>
      <c r="E1324" s="1" t="s">
        <v>18</v>
      </c>
      <c r="F1324" t="str">
        <f>HYPERLINK("http://www.sec.gov/Archives/edgar/data/890491/0001193125-16-630221-index.html")</f>
        <v>http://www.sec.gov/Archives/edgar/data/890491/0001193125-16-630221-index.html</v>
      </c>
    </row>
    <row r="1325" spans="1:6" x14ac:dyDescent="0.2">
      <c r="A1325" t="s">
        <v>1223</v>
      </c>
      <c r="B1325" s="1">
        <v>1002047</v>
      </c>
      <c r="C1325" s="1">
        <v>3572</v>
      </c>
      <c r="D1325" s="2">
        <v>42543</v>
      </c>
      <c r="E1325" s="1" t="s">
        <v>18</v>
      </c>
      <c r="F1325" t="str">
        <f>HYPERLINK("http://www.sec.gov/Archives/edgar/data/1002047/0001564590-16-020754-index.html")</f>
        <v>http://www.sec.gov/Archives/edgar/data/1002047/0001564590-16-020754-index.html</v>
      </c>
    </row>
    <row r="1326" spans="1:6" x14ac:dyDescent="0.2">
      <c r="A1326" t="s">
        <v>1224</v>
      </c>
      <c r="B1326" s="1">
        <v>1122020</v>
      </c>
      <c r="C1326" s="1">
        <v>8200</v>
      </c>
      <c r="D1326" s="2">
        <v>42543</v>
      </c>
      <c r="E1326" s="1" t="s">
        <v>18</v>
      </c>
      <c r="F1326" t="str">
        <f>HYPERLINK("http://www.sec.gov/Archives/edgar/data/1122020/0001493152-16-011009-index.html")</f>
        <v>http://www.sec.gov/Archives/edgar/data/1122020/0001493152-16-011009-index.html</v>
      </c>
    </row>
    <row r="1327" spans="1:6" x14ac:dyDescent="0.2">
      <c r="A1327" t="s">
        <v>1225</v>
      </c>
      <c r="B1327" s="1">
        <v>1341439</v>
      </c>
      <c r="C1327" s="1">
        <v>7372</v>
      </c>
      <c r="D1327" s="2">
        <v>42543</v>
      </c>
      <c r="E1327" s="1" t="s">
        <v>18</v>
      </c>
      <c r="F1327" t="str">
        <f>HYPERLINK("http://www.sec.gov/Archives/edgar/data/1341439/0001193125-16-628942-index.html")</f>
        <v>http://www.sec.gov/Archives/edgar/data/1341439/0001193125-16-628942-index.html</v>
      </c>
    </row>
    <row r="1328" spans="1:6" x14ac:dyDescent="0.2">
      <c r="A1328" t="s">
        <v>1226</v>
      </c>
      <c r="B1328" s="1">
        <v>1557376</v>
      </c>
      <c r="C1328" s="1">
        <v>3790</v>
      </c>
      <c r="D1328" s="2">
        <v>42543</v>
      </c>
      <c r="E1328" s="1" t="s">
        <v>18</v>
      </c>
      <c r="F1328" t="str">
        <f>HYPERLINK("http://www.sec.gov/Archives/edgar/data/1557376/0001477932-16-010983-index.html")</f>
        <v>http://www.sec.gov/Archives/edgar/data/1557376/0001477932-16-010983-index.html</v>
      </c>
    </row>
    <row r="1329" spans="1:6" x14ac:dyDescent="0.2">
      <c r="A1329" t="s">
        <v>1227</v>
      </c>
      <c r="B1329" s="1">
        <v>1561865</v>
      </c>
      <c r="C1329" s="1">
        <v>7389</v>
      </c>
      <c r="D1329" s="2">
        <v>42543</v>
      </c>
      <c r="E1329" s="1" t="s">
        <v>42</v>
      </c>
      <c r="F1329" t="str">
        <f>HYPERLINK("http://www.sec.gov/Archives/edgar/data/1561865/0001477932-16-010985-index.html")</f>
        <v>http://www.sec.gov/Archives/edgar/data/1561865/0001477932-16-010985-index.html</v>
      </c>
    </row>
    <row r="1330" spans="1:6" x14ac:dyDescent="0.2">
      <c r="A1330" t="s">
        <v>1228</v>
      </c>
      <c r="B1330" s="1">
        <v>1563922</v>
      </c>
      <c r="C1330" s="1">
        <v>4911</v>
      </c>
      <c r="D1330" s="2">
        <v>42543</v>
      </c>
      <c r="E1330" s="1" t="s">
        <v>42</v>
      </c>
      <c r="F1330" t="str">
        <f>HYPERLINK("http://www.sec.gov/Archives/edgar/data/1563922/0001615774-16-006025-index.html")</f>
        <v>http://www.sec.gov/Archives/edgar/data/1563922/0001615774-16-006025-index.html</v>
      </c>
    </row>
    <row r="1331" spans="1:6" x14ac:dyDescent="0.2">
      <c r="A1331" t="s">
        <v>1229</v>
      </c>
      <c r="B1331" s="1">
        <v>1367083</v>
      </c>
      <c r="C1331" s="1">
        <v>3841</v>
      </c>
      <c r="D1331" s="2">
        <v>42542</v>
      </c>
      <c r="E1331" s="1" t="s">
        <v>18</v>
      </c>
      <c r="F1331" t="str">
        <f>HYPERLINK("http://www.sec.gov/Archives/edgar/data/1367083/0001019687-16-006749-index.html")</f>
        <v>http://www.sec.gov/Archives/edgar/data/1367083/0001019687-16-006749-index.html</v>
      </c>
    </row>
    <row r="1332" spans="1:6" x14ac:dyDescent="0.2">
      <c r="A1332" t="s">
        <v>1230</v>
      </c>
      <c r="B1332" s="1">
        <v>1571238</v>
      </c>
      <c r="C1332" s="1">
        <v>6189</v>
      </c>
      <c r="D1332" s="2">
        <v>42542</v>
      </c>
      <c r="E1332" s="1" t="s">
        <v>42</v>
      </c>
      <c r="F1332" t="str">
        <f>HYPERLINK("http://www.sec.gov/Archives/edgar/data/1571238/0000914121-16-001301-index.html")</f>
        <v>http://www.sec.gov/Archives/edgar/data/1571238/0000914121-16-001301-index.html</v>
      </c>
    </row>
    <row r="1333" spans="1:6" x14ac:dyDescent="0.2">
      <c r="A1333" t="s">
        <v>1231</v>
      </c>
      <c r="B1333" s="1">
        <v>278166</v>
      </c>
      <c r="C1333" s="1">
        <v>2451</v>
      </c>
      <c r="D1333" s="2">
        <v>42542</v>
      </c>
      <c r="E1333" s="1" t="s">
        <v>18</v>
      </c>
      <c r="F1333" t="str">
        <f>HYPERLINK("http://www.sec.gov/Archives/edgar/data/278166/0000278166-16-000106-index.html")</f>
        <v>http://www.sec.gov/Archives/edgar/data/278166/0000278166-16-000106-index.html</v>
      </c>
    </row>
    <row r="1334" spans="1:6" x14ac:dyDescent="0.2">
      <c r="A1334" t="s">
        <v>1232</v>
      </c>
      <c r="B1334" s="1">
        <v>57131</v>
      </c>
      <c r="C1334" s="1">
        <v>2510</v>
      </c>
      <c r="D1334" s="2">
        <v>42542</v>
      </c>
      <c r="E1334" s="1" t="s">
        <v>18</v>
      </c>
      <c r="F1334" t="str">
        <f>HYPERLINK("http://www.sec.gov/Archives/edgar/data/57131/0001047469-16-013932-index.html")</f>
        <v>http://www.sec.gov/Archives/edgar/data/57131/0001047469-16-013932-index.html</v>
      </c>
    </row>
    <row r="1335" spans="1:6" x14ac:dyDescent="0.2">
      <c r="A1335" t="s">
        <v>1233</v>
      </c>
      <c r="B1335" s="1">
        <v>842314</v>
      </c>
      <c r="C1335" s="1">
        <v>6513</v>
      </c>
      <c r="D1335" s="2">
        <v>42542</v>
      </c>
      <c r="E1335" s="1" t="s">
        <v>18</v>
      </c>
      <c r="F1335" t="str">
        <f>HYPERLINK("http://www.sec.gov/Archives/edgar/data/842314/0001096906-16-001707-index.html")</f>
        <v>http://www.sec.gov/Archives/edgar/data/842314/0001096906-16-001707-index.html</v>
      </c>
    </row>
    <row r="1336" spans="1:6" x14ac:dyDescent="0.2">
      <c r="A1336" t="s">
        <v>1234</v>
      </c>
      <c r="B1336" s="1">
        <v>863015</v>
      </c>
      <c r="C1336" s="1">
        <v>7011</v>
      </c>
      <c r="D1336" s="2">
        <v>42542</v>
      </c>
      <c r="E1336" s="1" t="s">
        <v>18</v>
      </c>
      <c r="F1336" t="str">
        <f>HYPERLINK("http://www.sec.gov/Archives/edgar/data/863015/0001047469-16-013928-index.html")</f>
        <v>http://www.sec.gov/Archives/edgar/data/863015/0001047469-16-013928-index.html</v>
      </c>
    </row>
    <row r="1337" spans="1:6" x14ac:dyDescent="0.2">
      <c r="A1337" t="s">
        <v>1235</v>
      </c>
      <c r="B1337" s="1">
        <v>91419</v>
      </c>
      <c r="C1337" s="1">
        <v>2033</v>
      </c>
      <c r="D1337" s="2">
        <v>42542</v>
      </c>
      <c r="E1337" s="1" t="s">
        <v>18</v>
      </c>
      <c r="F1337" t="str">
        <f>HYPERLINK("http://www.sec.gov/Archives/edgar/data/91419/0000091419-16-000007-index.html")</f>
        <v>http://www.sec.gov/Archives/edgar/data/91419/0000091419-16-000007-index.html</v>
      </c>
    </row>
    <row r="1338" spans="1:6" x14ac:dyDescent="0.2">
      <c r="A1338" t="s">
        <v>1236</v>
      </c>
      <c r="B1338" s="1">
        <v>915779</v>
      </c>
      <c r="C1338" s="1">
        <v>3990</v>
      </c>
      <c r="D1338" s="2">
        <v>42542</v>
      </c>
      <c r="E1338" s="1" t="s">
        <v>18</v>
      </c>
      <c r="F1338" t="str">
        <f>HYPERLINK("http://www.sec.gov/Archives/edgar/data/915779/0000915779-16-000171-index.html")</f>
        <v>http://www.sec.gov/Archives/edgar/data/915779/0000915779-16-000171-index.html</v>
      </c>
    </row>
    <row r="1339" spans="1:6" x14ac:dyDescent="0.2">
      <c r="A1339" t="s">
        <v>1237</v>
      </c>
      <c r="B1339" s="1">
        <v>1330421</v>
      </c>
      <c r="C1339" s="1">
        <v>7372</v>
      </c>
      <c r="D1339" s="2">
        <v>42541</v>
      </c>
      <c r="E1339" s="1" t="s">
        <v>18</v>
      </c>
      <c r="F1339" t="str">
        <f>HYPERLINK("http://www.sec.gov/Archives/edgar/data/1330421/0001330421-16-000057-index.html")</f>
        <v>http://www.sec.gov/Archives/edgar/data/1330421/0001330421-16-000057-index.html</v>
      </c>
    </row>
    <row r="1340" spans="1:6" x14ac:dyDescent="0.2">
      <c r="A1340" t="s">
        <v>1238</v>
      </c>
      <c r="B1340" s="1">
        <v>1490873</v>
      </c>
      <c r="C1340" s="1">
        <v>5900</v>
      </c>
      <c r="D1340" s="2">
        <v>42541</v>
      </c>
      <c r="E1340" s="1" t="s">
        <v>42</v>
      </c>
      <c r="F1340" t="str">
        <f>HYPERLINK("http://www.sec.gov/Archives/edgar/data/1490873/0001594062-16-000509-index.html")</f>
        <v>http://www.sec.gov/Archives/edgar/data/1490873/0001594062-16-000509-index.html</v>
      </c>
    </row>
    <row r="1341" spans="1:6" x14ac:dyDescent="0.2">
      <c r="A1341" t="s">
        <v>1005</v>
      </c>
      <c r="B1341" s="1">
        <v>350868</v>
      </c>
      <c r="C1341" s="1">
        <v>3669</v>
      </c>
      <c r="D1341" s="2">
        <v>42541</v>
      </c>
      <c r="E1341" s="1" t="s">
        <v>18</v>
      </c>
      <c r="F1341" t="str">
        <f>HYPERLINK("http://www.sec.gov/Archives/edgar/data/350868/0001047469-16-013877-index.html")</f>
        <v>http://www.sec.gov/Archives/edgar/data/350868/0001047469-16-013877-index.html</v>
      </c>
    </row>
    <row r="1342" spans="1:6" x14ac:dyDescent="0.2">
      <c r="A1342" t="s">
        <v>1239</v>
      </c>
      <c r="B1342" s="1">
        <v>856135</v>
      </c>
      <c r="C1342" s="1">
        <v>6513</v>
      </c>
      <c r="D1342" s="2">
        <v>42541</v>
      </c>
      <c r="E1342" s="1" t="s">
        <v>18</v>
      </c>
      <c r="F1342" t="str">
        <f>HYPERLINK("http://www.sec.gov/Archives/edgar/data/856135/0001096906-16-001702-index.html")</f>
        <v>http://www.sec.gov/Archives/edgar/data/856135/0001096906-16-001702-index.html</v>
      </c>
    </row>
    <row r="1343" spans="1:6" x14ac:dyDescent="0.2">
      <c r="A1343" t="s">
        <v>1240</v>
      </c>
      <c r="B1343" s="1">
        <v>859747</v>
      </c>
      <c r="C1343" s="1">
        <v>2000</v>
      </c>
      <c r="D1343" s="2">
        <v>42541</v>
      </c>
      <c r="E1343" s="1" t="s">
        <v>18</v>
      </c>
      <c r="F1343" t="str">
        <f>HYPERLINK("http://www.sec.gov/Archives/edgar/data/859747/0001477932-16-010918-index.html")</f>
        <v>http://www.sec.gov/Archives/edgar/data/859747/0001477932-16-010918-index.html</v>
      </c>
    </row>
    <row r="1344" spans="1:6" x14ac:dyDescent="0.2">
      <c r="A1344" t="s">
        <v>1241</v>
      </c>
      <c r="B1344" s="1">
        <v>897315</v>
      </c>
      <c r="C1344" s="1">
        <v>6513</v>
      </c>
      <c r="D1344" s="2">
        <v>42541</v>
      </c>
      <c r="E1344" s="1" t="s">
        <v>18</v>
      </c>
      <c r="F1344" t="str">
        <f>HYPERLINK("http://www.sec.gov/Archives/edgar/data/897315/0001096906-16-001700-index.html")</f>
        <v>http://www.sec.gov/Archives/edgar/data/897315/0001096906-16-001700-index.html</v>
      </c>
    </row>
    <row r="1345" spans="1:6" x14ac:dyDescent="0.2">
      <c r="A1345" t="s">
        <v>1242</v>
      </c>
      <c r="B1345" s="1">
        <v>99302</v>
      </c>
      <c r="C1345" s="1">
        <v>3825</v>
      </c>
      <c r="D1345" s="2">
        <v>42541</v>
      </c>
      <c r="E1345" s="1" t="s">
        <v>18</v>
      </c>
      <c r="F1345" t="str">
        <f>HYPERLINK("http://www.sec.gov/Archives/edgar/data/99302/0001206774-16-006245-index.html")</f>
        <v>http://www.sec.gov/Archives/edgar/data/99302/0001206774-16-006245-index.html</v>
      </c>
    </row>
    <row r="1346" spans="1:6" x14ac:dyDescent="0.2">
      <c r="A1346" t="s">
        <v>1243</v>
      </c>
      <c r="B1346" s="1">
        <v>1094739</v>
      </c>
      <c r="C1346" s="1">
        <v>3674</v>
      </c>
      <c r="D1346" s="2">
        <v>42538</v>
      </c>
      <c r="E1346" s="1" t="s">
        <v>18</v>
      </c>
      <c r="F1346" t="str">
        <f>HYPERLINK("http://www.sec.gov/Archives/edgar/data/1094739/0001094739-16-000131-index.html")</f>
        <v>http://www.sec.gov/Archives/edgar/data/1094739/0001094739-16-000131-index.html</v>
      </c>
    </row>
    <row r="1347" spans="1:6" x14ac:dyDescent="0.2">
      <c r="A1347" t="s">
        <v>1244</v>
      </c>
      <c r="B1347" s="1">
        <v>1128725</v>
      </c>
      <c r="C1347" s="1">
        <v>7389</v>
      </c>
      <c r="D1347" s="2">
        <v>42538</v>
      </c>
      <c r="E1347" s="1" t="s">
        <v>18</v>
      </c>
      <c r="F1347" t="str">
        <f>HYPERLINK("http://www.sec.gov/Archives/edgar/data/1128725/0001213900-16-014344-index.html")</f>
        <v>http://www.sec.gov/Archives/edgar/data/1128725/0001213900-16-014344-index.html</v>
      </c>
    </row>
    <row r="1348" spans="1:6" x14ac:dyDescent="0.2">
      <c r="A1348" t="s">
        <v>1119</v>
      </c>
      <c r="B1348" s="1">
        <v>1157817</v>
      </c>
      <c r="C1348" s="1">
        <v>7389</v>
      </c>
      <c r="D1348" s="2">
        <v>42538</v>
      </c>
      <c r="E1348" s="1" t="s">
        <v>21</v>
      </c>
      <c r="F1348" t="str">
        <f>HYPERLINK("http://www.sec.gov/Archives/edgar/data/1157817/0001213900-16-014342-index.html")</f>
        <v>http://www.sec.gov/Archives/edgar/data/1157817/0001213900-16-014342-index.html</v>
      </c>
    </row>
    <row r="1349" spans="1:6" x14ac:dyDescent="0.2">
      <c r="A1349" t="s">
        <v>1245</v>
      </c>
      <c r="B1349" s="1">
        <v>12659</v>
      </c>
      <c r="C1349" s="1">
        <v>7200</v>
      </c>
      <c r="D1349" s="2">
        <v>42538</v>
      </c>
      <c r="E1349" s="1" t="s">
        <v>18</v>
      </c>
      <c r="F1349" t="str">
        <f>HYPERLINK("http://www.sec.gov/Archives/edgar/data/12659/0001574842-16-000042-index.html")</f>
        <v>http://www.sec.gov/Archives/edgar/data/12659/0001574842-16-000042-index.html</v>
      </c>
    </row>
    <row r="1350" spans="1:6" x14ac:dyDescent="0.2">
      <c r="A1350" t="s">
        <v>1031</v>
      </c>
      <c r="B1350" s="1">
        <v>1368637</v>
      </c>
      <c r="C1350" s="1">
        <v>1311</v>
      </c>
      <c r="D1350" s="2">
        <v>42538</v>
      </c>
      <c r="E1350" s="1" t="s">
        <v>18</v>
      </c>
      <c r="F1350" t="str">
        <f>HYPERLINK("http://www.sec.gov/Archives/edgar/data/1368637/0001387131-16-005856-index.html")</f>
        <v>http://www.sec.gov/Archives/edgar/data/1368637/0001387131-16-005856-index.html</v>
      </c>
    </row>
    <row r="1351" spans="1:6" x14ac:dyDescent="0.2">
      <c r="A1351" t="s">
        <v>1246</v>
      </c>
      <c r="B1351" s="1">
        <v>1428765</v>
      </c>
      <c r="C1351" s="1">
        <v>3089</v>
      </c>
      <c r="D1351" s="2">
        <v>42538</v>
      </c>
      <c r="E1351" s="1" t="s">
        <v>18</v>
      </c>
      <c r="F1351" t="str">
        <f>HYPERLINK("http://www.sec.gov/Archives/edgar/data/1428765/0001493152-16-010936-index.html")</f>
        <v>http://www.sec.gov/Archives/edgar/data/1428765/0001493152-16-010936-index.html</v>
      </c>
    </row>
    <row r="1352" spans="1:6" x14ac:dyDescent="0.2">
      <c r="A1352" t="s">
        <v>722</v>
      </c>
      <c r="B1352" s="1">
        <v>1459482</v>
      </c>
      <c r="C1352" s="1">
        <v>8200</v>
      </c>
      <c r="D1352" s="2">
        <v>42538</v>
      </c>
      <c r="E1352" s="1" t="s">
        <v>42</v>
      </c>
      <c r="F1352" t="str">
        <f>HYPERLINK("http://www.sec.gov/Archives/edgar/data/1459482/0001019687-16-006705-index.html")</f>
        <v>http://www.sec.gov/Archives/edgar/data/1459482/0001019687-16-006705-index.html</v>
      </c>
    </row>
    <row r="1353" spans="1:6" x14ac:dyDescent="0.2">
      <c r="A1353" t="s">
        <v>1247</v>
      </c>
      <c r="B1353" s="1">
        <v>1461993</v>
      </c>
      <c r="C1353" s="1">
        <v>2834</v>
      </c>
      <c r="D1353" s="2">
        <v>42538</v>
      </c>
      <c r="E1353" s="1" t="s">
        <v>42</v>
      </c>
      <c r="F1353" t="str">
        <f>HYPERLINK("http://www.sec.gov/Archives/edgar/data/1461993/0001193125-16-625012-index.html")</f>
        <v>http://www.sec.gov/Archives/edgar/data/1461993/0001193125-16-625012-index.html</v>
      </c>
    </row>
    <row r="1354" spans="1:6" x14ac:dyDescent="0.2">
      <c r="A1354" t="s">
        <v>745</v>
      </c>
      <c r="B1354" s="1">
        <v>1487843</v>
      </c>
      <c r="C1354" s="1">
        <v>6500</v>
      </c>
      <c r="D1354" s="2">
        <v>42538</v>
      </c>
      <c r="E1354" s="1" t="s">
        <v>42</v>
      </c>
      <c r="F1354" t="str">
        <f>HYPERLINK("http://www.sec.gov/Archives/edgar/data/1487843/0001213900-16-014323-index.html")</f>
        <v>http://www.sec.gov/Archives/edgar/data/1487843/0001213900-16-014323-index.html</v>
      </c>
    </row>
    <row r="1355" spans="1:6" x14ac:dyDescent="0.2">
      <c r="A1355" t="s">
        <v>1248</v>
      </c>
      <c r="B1355" s="1">
        <v>1575659</v>
      </c>
      <c r="C1355" s="1">
        <v>3842</v>
      </c>
      <c r="D1355" s="2">
        <v>42538</v>
      </c>
      <c r="E1355" s="1" t="s">
        <v>18</v>
      </c>
      <c r="F1355" t="str">
        <f>HYPERLINK("http://www.sec.gov/Archives/edgar/data/1575659/0001393905-16-000952-index.html")</f>
        <v>http://www.sec.gov/Archives/edgar/data/1575659/0001393905-16-000952-index.html</v>
      </c>
    </row>
    <row r="1356" spans="1:6" x14ac:dyDescent="0.2">
      <c r="A1356" t="s">
        <v>1249</v>
      </c>
      <c r="B1356" s="1">
        <v>730669</v>
      </c>
      <c r="C1356" s="1">
        <v>6770</v>
      </c>
      <c r="D1356" s="2">
        <v>42538</v>
      </c>
      <c r="E1356" s="1" t="s">
        <v>18</v>
      </c>
      <c r="F1356" t="str">
        <f>HYPERLINK("http://www.sec.gov/Archives/edgar/data/730669/0001477932-16-010913-index.html")</f>
        <v>http://www.sec.gov/Archives/edgar/data/730669/0001477932-16-010913-index.html</v>
      </c>
    </row>
    <row r="1357" spans="1:6" x14ac:dyDescent="0.2">
      <c r="A1357" t="s">
        <v>1250</v>
      </c>
      <c r="B1357" s="1">
        <v>799850</v>
      </c>
      <c r="C1357" s="1">
        <v>5500</v>
      </c>
      <c r="D1357" s="2">
        <v>42538</v>
      </c>
      <c r="E1357" s="1" t="s">
        <v>18</v>
      </c>
      <c r="F1357" t="str">
        <f>HYPERLINK("http://www.sec.gov/Archives/edgar/data/799850/0001171843-16-010722-index.html")</f>
        <v>http://www.sec.gov/Archives/edgar/data/799850/0001171843-16-010722-index.html</v>
      </c>
    </row>
    <row r="1358" spans="1:6" x14ac:dyDescent="0.2">
      <c r="A1358" t="s">
        <v>1251</v>
      </c>
      <c r="B1358" s="1">
        <v>1056757</v>
      </c>
      <c r="C1358" s="1">
        <v>3560</v>
      </c>
      <c r="D1358" s="2">
        <v>42537</v>
      </c>
      <c r="E1358" s="1" t="s">
        <v>42</v>
      </c>
      <c r="F1358" t="str">
        <f>HYPERLINK("http://www.sec.gov/Archives/edgar/data/1056757/0001079974-16-001364-index.html")</f>
        <v>http://www.sec.gov/Archives/edgar/data/1056757/0001079974-16-001364-index.html</v>
      </c>
    </row>
    <row r="1359" spans="1:6" x14ac:dyDescent="0.2">
      <c r="A1359" t="s">
        <v>1252</v>
      </c>
      <c r="B1359" s="1">
        <v>1092796</v>
      </c>
      <c r="C1359" s="1">
        <v>3480</v>
      </c>
      <c r="D1359" s="2">
        <v>42537</v>
      </c>
      <c r="E1359" s="1" t="s">
        <v>18</v>
      </c>
      <c r="F1359" t="str">
        <f>HYPERLINK("http://www.sec.gov/Archives/edgar/data/1092796/0001564590-16-020629-index.html")</f>
        <v>http://www.sec.gov/Archives/edgar/data/1092796/0001564590-16-020629-index.html</v>
      </c>
    </row>
    <row r="1360" spans="1:6" x14ac:dyDescent="0.2">
      <c r="A1360" t="s">
        <v>1253</v>
      </c>
      <c r="B1360" s="1">
        <v>1294250</v>
      </c>
      <c r="C1360" s="1">
        <v>4400</v>
      </c>
      <c r="D1360" s="2">
        <v>42537</v>
      </c>
      <c r="E1360" s="1" t="s">
        <v>18</v>
      </c>
      <c r="F1360" t="str">
        <f>HYPERLINK("http://www.sec.gov/Archives/edgar/data/1294250/0001294250-16-000007-index.html")</f>
        <v>http://www.sec.gov/Archives/edgar/data/1294250/0001294250-16-000007-index.html</v>
      </c>
    </row>
    <row r="1361" spans="1:6" x14ac:dyDescent="0.2">
      <c r="A1361" t="s">
        <v>437</v>
      </c>
      <c r="B1361" s="1">
        <v>1419051</v>
      </c>
      <c r="C1361" s="1">
        <v>3841</v>
      </c>
      <c r="D1361" s="2">
        <v>42537</v>
      </c>
      <c r="E1361" s="1" t="s">
        <v>18</v>
      </c>
      <c r="F1361" t="str">
        <f>HYPERLINK("http://www.sec.gov/Archives/edgar/data/1419051/0001078782-16-002992-index.html")</f>
        <v>http://www.sec.gov/Archives/edgar/data/1419051/0001078782-16-002992-index.html</v>
      </c>
    </row>
    <row r="1362" spans="1:6" x14ac:dyDescent="0.2">
      <c r="A1362" t="s">
        <v>1254</v>
      </c>
      <c r="B1362" s="1">
        <v>1438095</v>
      </c>
      <c r="C1362" s="1">
        <v>5031</v>
      </c>
      <c r="D1362" s="2">
        <v>42537</v>
      </c>
      <c r="E1362" s="1" t="s">
        <v>18</v>
      </c>
      <c r="F1362" t="str">
        <f>HYPERLINK("http://www.sec.gov/Archives/edgar/data/1438095/0001078782-16-002994-index.html")</f>
        <v>http://www.sec.gov/Archives/edgar/data/1438095/0001078782-16-002994-index.html</v>
      </c>
    </row>
    <row r="1363" spans="1:6" x14ac:dyDescent="0.2">
      <c r="A1363" t="s">
        <v>1255</v>
      </c>
      <c r="B1363" s="1">
        <v>14693</v>
      </c>
      <c r="C1363" s="1">
        <v>2080</v>
      </c>
      <c r="D1363" s="2">
        <v>42537</v>
      </c>
      <c r="E1363" s="1" t="s">
        <v>18</v>
      </c>
      <c r="F1363" t="str">
        <f>HYPERLINK("http://www.sec.gov/Archives/edgar/data/14693/0000014693-16-000160-index.html")</f>
        <v>http://www.sec.gov/Archives/edgar/data/14693/0000014693-16-000160-index.html</v>
      </c>
    </row>
    <row r="1364" spans="1:6" x14ac:dyDescent="0.2">
      <c r="A1364" t="s">
        <v>1256</v>
      </c>
      <c r="B1364" s="1">
        <v>1053369</v>
      </c>
      <c r="C1364" s="1">
        <v>2834</v>
      </c>
      <c r="D1364" s="2">
        <v>42536</v>
      </c>
      <c r="E1364" s="1" t="s">
        <v>18</v>
      </c>
      <c r="F1364" t="str">
        <f>HYPERLINK("http://www.sec.gov/Archives/edgar/data/1053369/0001144204-16-108327-index.html")</f>
        <v>http://www.sec.gov/Archives/edgar/data/1053369/0001144204-16-108327-index.html</v>
      </c>
    </row>
    <row r="1365" spans="1:6" x14ac:dyDescent="0.2">
      <c r="A1365" t="s">
        <v>1251</v>
      </c>
      <c r="B1365" s="1">
        <v>1056757</v>
      </c>
      <c r="C1365" s="1">
        <v>3560</v>
      </c>
      <c r="D1365" s="2">
        <v>42536</v>
      </c>
      <c r="E1365" s="1" t="s">
        <v>18</v>
      </c>
      <c r="F1365" t="str">
        <f>HYPERLINK("http://www.sec.gov/Archives/edgar/data/1056757/0001079974-16-001359-index.html")</f>
        <v>http://www.sec.gov/Archives/edgar/data/1056757/0001079974-16-001359-index.html</v>
      </c>
    </row>
    <row r="1366" spans="1:6" x14ac:dyDescent="0.2">
      <c r="A1366" t="s">
        <v>1257</v>
      </c>
      <c r="B1366" s="1">
        <v>1316644</v>
      </c>
      <c r="C1366" s="1">
        <v>5200</v>
      </c>
      <c r="D1366" s="2">
        <v>42536</v>
      </c>
      <c r="E1366" s="1" t="s">
        <v>18</v>
      </c>
      <c r="F1366" t="str">
        <f>HYPERLINK("http://www.sec.gov/Archives/edgar/data/1316644/0001185185-16-004820-index.html")</f>
        <v>http://www.sec.gov/Archives/edgar/data/1316644/0001185185-16-004820-index.html</v>
      </c>
    </row>
    <row r="1367" spans="1:6" x14ac:dyDescent="0.2">
      <c r="A1367" t="s">
        <v>1258</v>
      </c>
      <c r="B1367" s="1">
        <v>1452872</v>
      </c>
      <c r="C1367" s="1">
        <v>6794</v>
      </c>
      <c r="D1367" s="2">
        <v>42536</v>
      </c>
      <c r="E1367" s="1" t="s">
        <v>42</v>
      </c>
      <c r="F1367" t="str">
        <f>HYPERLINK("http://www.sec.gov/Archives/edgar/data/1452872/0001571049-16-016050-index.html")</f>
        <v>http://www.sec.gov/Archives/edgar/data/1452872/0001571049-16-016050-index.html</v>
      </c>
    </row>
    <row r="1368" spans="1:6" x14ac:dyDescent="0.2">
      <c r="A1368" t="s">
        <v>1259</v>
      </c>
      <c r="B1368" s="1">
        <v>1498148</v>
      </c>
      <c r="C1368" s="1">
        <v>3714</v>
      </c>
      <c r="D1368" s="2">
        <v>42536</v>
      </c>
      <c r="E1368" s="1" t="s">
        <v>18</v>
      </c>
      <c r="F1368" t="str">
        <f>HYPERLINK("http://www.sec.gov/Archives/edgar/data/1498148/0001161697-16-000893-index.html")</f>
        <v>http://www.sec.gov/Archives/edgar/data/1498148/0001161697-16-000893-index.html</v>
      </c>
    </row>
    <row r="1369" spans="1:6" x14ac:dyDescent="0.2">
      <c r="A1369" t="s">
        <v>1260</v>
      </c>
      <c r="B1369" s="1">
        <v>1504678</v>
      </c>
      <c r="C1369" s="1">
        <v>4813</v>
      </c>
      <c r="D1369" s="2">
        <v>42536</v>
      </c>
      <c r="E1369" s="1" t="s">
        <v>18</v>
      </c>
      <c r="F1369" t="str">
        <f>HYPERLINK("http://www.sec.gov/Archives/edgar/data/1504678/0001477932-16-010876-index.html")</f>
        <v>http://www.sec.gov/Archives/edgar/data/1504678/0001477932-16-010876-index.html</v>
      </c>
    </row>
    <row r="1370" spans="1:6" x14ac:dyDescent="0.2">
      <c r="A1370" t="s">
        <v>1261</v>
      </c>
      <c r="B1370" s="1">
        <v>1543066</v>
      </c>
      <c r="C1370" s="1">
        <v>4953</v>
      </c>
      <c r="D1370" s="2">
        <v>42536</v>
      </c>
      <c r="E1370" s="1" t="s">
        <v>18</v>
      </c>
      <c r="F1370" t="str">
        <f>HYPERLINK("http://www.sec.gov/Archives/edgar/data/1543066/0001161697-16-000891-index.html")</f>
        <v>http://www.sec.gov/Archives/edgar/data/1543066/0001161697-16-000891-index.html</v>
      </c>
    </row>
    <row r="1371" spans="1:6" x14ac:dyDescent="0.2">
      <c r="A1371" t="s">
        <v>1262</v>
      </c>
      <c r="B1371" s="1">
        <v>1581076</v>
      </c>
      <c r="C1371" s="1">
        <v>6189</v>
      </c>
      <c r="D1371" s="2">
        <v>42536</v>
      </c>
      <c r="E1371" s="1" t="s">
        <v>18</v>
      </c>
      <c r="F1371" t="str">
        <f>HYPERLINK("http://www.sec.gov/Archives/edgar/data/1581076/0001571049-16-016037-index.html")</f>
        <v>http://www.sec.gov/Archives/edgar/data/1581076/0001571049-16-016037-index.html</v>
      </c>
    </row>
    <row r="1372" spans="1:6" x14ac:dyDescent="0.2">
      <c r="A1372" t="s">
        <v>1263</v>
      </c>
      <c r="B1372" s="1">
        <v>1589644</v>
      </c>
      <c r="C1372" s="1">
        <v>6189</v>
      </c>
      <c r="D1372" s="2">
        <v>42536</v>
      </c>
      <c r="E1372" s="1" t="s">
        <v>18</v>
      </c>
      <c r="F1372" t="str">
        <f>HYPERLINK("http://www.sec.gov/Archives/edgar/data/1589644/0001571049-16-016040-index.html")</f>
        <v>http://www.sec.gov/Archives/edgar/data/1589644/0001571049-16-016040-index.html</v>
      </c>
    </row>
    <row r="1373" spans="1:6" x14ac:dyDescent="0.2">
      <c r="A1373" t="s">
        <v>1264</v>
      </c>
      <c r="B1373" s="1">
        <v>1600410</v>
      </c>
      <c r="C1373" s="1">
        <v>6189</v>
      </c>
      <c r="D1373" s="2">
        <v>42536</v>
      </c>
      <c r="E1373" s="1" t="s">
        <v>18</v>
      </c>
      <c r="F1373" t="str">
        <f>HYPERLINK("http://www.sec.gov/Archives/edgar/data/1600410/0001571049-16-016044-index.html")</f>
        <v>http://www.sec.gov/Archives/edgar/data/1600410/0001571049-16-016044-index.html</v>
      </c>
    </row>
    <row r="1374" spans="1:6" x14ac:dyDescent="0.2">
      <c r="A1374" t="s">
        <v>1265</v>
      </c>
      <c r="B1374" s="1">
        <v>1611046</v>
      </c>
      <c r="C1374" s="1">
        <v>7000</v>
      </c>
      <c r="D1374" s="2">
        <v>42536</v>
      </c>
      <c r="E1374" s="1" t="s">
        <v>42</v>
      </c>
      <c r="F1374" t="str">
        <f>HYPERLINK("http://www.sec.gov/Archives/edgar/data/1611046/0001570931-16-000060-index.html")</f>
        <v>http://www.sec.gov/Archives/edgar/data/1611046/0001570931-16-000060-index.html</v>
      </c>
    </row>
    <row r="1375" spans="1:6" x14ac:dyDescent="0.2">
      <c r="A1375" t="s">
        <v>1266</v>
      </c>
      <c r="B1375" s="1">
        <v>1624873</v>
      </c>
      <c r="C1375" s="1">
        <v>6189</v>
      </c>
      <c r="D1375" s="2">
        <v>42536</v>
      </c>
      <c r="E1375" s="1" t="s">
        <v>18</v>
      </c>
      <c r="F1375" t="str">
        <f>HYPERLINK("http://www.sec.gov/Archives/edgar/data/1624873/0001571049-16-016036-index.html")</f>
        <v>http://www.sec.gov/Archives/edgar/data/1624873/0001571049-16-016036-index.html</v>
      </c>
    </row>
    <row r="1376" spans="1:6" x14ac:dyDescent="0.2">
      <c r="A1376" t="s">
        <v>1267</v>
      </c>
      <c r="B1376" s="1">
        <v>1629037</v>
      </c>
      <c r="C1376" s="1">
        <v>6189</v>
      </c>
      <c r="D1376" s="2">
        <v>42536</v>
      </c>
      <c r="E1376" s="1" t="s">
        <v>18</v>
      </c>
      <c r="F1376" t="str">
        <f>HYPERLINK("http://www.sec.gov/Archives/edgar/data/1629037/0001571049-16-016038-index.html")</f>
        <v>http://www.sec.gov/Archives/edgar/data/1629037/0001571049-16-016038-index.html</v>
      </c>
    </row>
    <row r="1377" spans="1:6" x14ac:dyDescent="0.2">
      <c r="A1377" t="s">
        <v>1268</v>
      </c>
      <c r="B1377" s="1">
        <v>1641204</v>
      </c>
      <c r="C1377" s="1">
        <v>6189</v>
      </c>
      <c r="D1377" s="2">
        <v>42536</v>
      </c>
      <c r="E1377" s="1" t="s">
        <v>18</v>
      </c>
      <c r="F1377" t="str">
        <f>HYPERLINK("http://www.sec.gov/Archives/edgar/data/1641204/0001571049-16-016039-index.html")</f>
        <v>http://www.sec.gov/Archives/edgar/data/1641204/0001571049-16-016039-index.html</v>
      </c>
    </row>
    <row r="1378" spans="1:6" x14ac:dyDescent="0.2">
      <c r="A1378" t="s">
        <v>1269</v>
      </c>
      <c r="B1378" s="1">
        <v>1664248</v>
      </c>
      <c r="C1378" s="1">
        <v>6189</v>
      </c>
      <c r="D1378" s="2">
        <v>42536</v>
      </c>
      <c r="E1378" s="1" t="s">
        <v>18</v>
      </c>
      <c r="F1378" t="str">
        <f>HYPERLINK("http://www.sec.gov/Archives/edgar/data/1664248/0001571049-16-016043-index.html")</f>
        <v>http://www.sec.gov/Archives/edgar/data/1664248/0001571049-16-016043-index.html</v>
      </c>
    </row>
    <row r="1379" spans="1:6" x14ac:dyDescent="0.2">
      <c r="A1379" t="s">
        <v>1270</v>
      </c>
      <c r="B1379" s="1">
        <v>23082</v>
      </c>
      <c r="C1379" s="1">
        <v>7373</v>
      </c>
      <c r="D1379" s="2">
        <v>42536</v>
      </c>
      <c r="E1379" s="1" t="s">
        <v>18</v>
      </c>
      <c r="F1379" t="str">
        <f>HYPERLINK("http://www.sec.gov/Archives/edgar/data/23082/0000023082-16-000147-index.html")</f>
        <v>http://www.sec.gov/Archives/edgar/data/23082/0000023082-16-000147-index.html</v>
      </c>
    </row>
    <row r="1380" spans="1:6" x14ac:dyDescent="0.2">
      <c r="A1380" t="s">
        <v>1271</v>
      </c>
      <c r="B1380" s="1">
        <v>726514</v>
      </c>
      <c r="C1380" s="1">
        <v>3690</v>
      </c>
      <c r="D1380" s="2">
        <v>42536</v>
      </c>
      <c r="E1380" s="1" t="s">
        <v>18</v>
      </c>
      <c r="F1380" t="str">
        <f>HYPERLINK("http://www.sec.gov/Archives/edgar/data/726514/0000726514-16-000146-index.html")</f>
        <v>http://www.sec.gov/Archives/edgar/data/726514/0000726514-16-000146-index.html</v>
      </c>
    </row>
    <row r="1381" spans="1:6" x14ac:dyDescent="0.2">
      <c r="A1381" t="s">
        <v>1272</v>
      </c>
      <c r="B1381" s="1">
        <v>91668</v>
      </c>
      <c r="C1381" s="1">
        <v>3674</v>
      </c>
      <c r="D1381" s="2">
        <v>42536</v>
      </c>
      <c r="E1381" s="1" t="s">
        <v>18</v>
      </c>
      <c r="F1381" t="str">
        <f>HYPERLINK("http://www.sec.gov/Archives/edgar/data/91668/0001213900-16-014258-index.html")</f>
        <v>http://www.sec.gov/Archives/edgar/data/91668/0001213900-16-014258-index.html</v>
      </c>
    </row>
    <row r="1382" spans="1:6" x14ac:dyDescent="0.2">
      <c r="A1382" t="s">
        <v>1273</v>
      </c>
      <c r="B1382" s="1">
        <v>949982</v>
      </c>
      <c r="C1382" s="1">
        <v>3559</v>
      </c>
      <c r="D1382" s="2">
        <v>42536</v>
      </c>
      <c r="E1382" s="1" t="s">
        <v>18</v>
      </c>
      <c r="F1382" t="str">
        <f>HYPERLINK("http://www.sec.gov/Archives/edgar/data/949982/0001477932-16-010870-index.html")</f>
        <v>http://www.sec.gov/Archives/edgar/data/949982/0001477932-16-010870-index.html</v>
      </c>
    </row>
    <row r="1383" spans="1:6" x14ac:dyDescent="0.2">
      <c r="A1383" t="s">
        <v>1274</v>
      </c>
      <c r="B1383" s="1">
        <v>1000045</v>
      </c>
      <c r="C1383" s="1">
        <v>6153</v>
      </c>
      <c r="D1383" s="2">
        <v>42535</v>
      </c>
      <c r="E1383" s="1" t="s">
        <v>18</v>
      </c>
      <c r="F1383" t="str">
        <f>HYPERLINK("http://www.sec.gov/Archives/edgar/data/1000045/0001193125-16-620952-index.html")</f>
        <v>http://www.sec.gov/Archives/edgar/data/1000045/0001193125-16-620952-index.html</v>
      </c>
    </row>
    <row r="1384" spans="1:6" x14ac:dyDescent="0.2">
      <c r="A1384" t="s">
        <v>1275</v>
      </c>
      <c r="B1384" s="1">
        <v>1041368</v>
      </c>
      <c r="C1384" s="1">
        <v>6035</v>
      </c>
      <c r="D1384" s="2">
        <v>42535</v>
      </c>
      <c r="E1384" s="1" t="s">
        <v>18</v>
      </c>
      <c r="F1384" t="str">
        <f>HYPERLINK("http://www.sec.gov/Archives/edgar/data/1041368/0000939057-16-000878-index.html")</f>
        <v>http://www.sec.gov/Archives/edgar/data/1041368/0000939057-16-000878-index.html</v>
      </c>
    </row>
    <row r="1385" spans="1:6" x14ac:dyDescent="0.2">
      <c r="A1385" t="s">
        <v>1276</v>
      </c>
      <c r="B1385" s="1">
        <v>1062822</v>
      </c>
      <c r="C1385" s="1">
        <v>2834</v>
      </c>
      <c r="D1385" s="2">
        <v>42535</v>
      </c>
      <c r="E1385" s="1" t="s">
        <v>42</v>
      </c>
      <c r="F1385" t="str">
        <f>HYPERLINK("http://www.sec.gov/Archives/edgar/data/1062822/0001062822-16-000068-index.html")</f>
        <v>http://www.sec.gov/Archives/edgar/data/1062822/0001062822-16-000068-index.html</v>
      </c>
    </row>
    <row r="1386" spans="1:6" x14ac:dyDescent="0.2">
      <c r="A1386" t="s">
        <v>1277</v>
      </c>
      <c r="B1386" s="1">
        <v>1171838</v>
      </c>
      <c r="C1386" s="1">
        <v>6411</v>
      </c>
      <c r="D1386" s="2">
        <v>42535</v>
      </c>
      <c r="E1386" s="1" t="s">
        <v>18</v>
      </c>
      <c r="F1386" t="str">
        <f>HYPERLINK("http://www.sec.gov/Archives/edgar/data/1171838/0001580957-16-000709-index.html")</f>
        <v>http://www.sec.gov/Archives/edgar/data/1171838/0001580957-16-000709-index.html</v>
      </c>
    </row>
    <row r="1387" spans="1:6" x14ac:dyDescent="0.2">
      <c r="A1387" t="s">
        <v>1278</v>
      </c>
      <c r="B1387" s="1">
        <v>1311538</v>
      </c>
      <c r="C1387" s="1">
        <v>2080</v>
      </c>
      <c r="D1387" s="2">
        <v>42535</v>
      </c>
      <c r="E1387" s="1" t="s">
        <v>18</v>
      </c>
      <c r="F1387" t="str">
        <f>HYPERLINK("http://www.sec.gov/Archives/edgar/data/1311538/0001144204-16-108091-index.html")</f>
        <v>http://www.sec.gov/Archives/edgar/data/1311538/0001144204-16-108091-index.html</v>
      </c>
    </row>
    <row r="1388" spans="1:6" x14ac:dyDescent="0.2">
      <c r="A1388" t="s">
        <v>1279</v>
      </c>
      <c r="B1388" s="1">
        <v>1402747</v>
      </c>
      <c r="C1388" s="1">
        <v>1000</v>
      </c>
      <c r="D1388" s="2">
        <v>42535</v>
      </c>
      <c r="E1388" s="1" t="s">
        <v>18</v>
      </c>
      <c r="F1388" t="str">
        <f>HYPERLINK("http://www.sec.gov/Archives/edgar/data/1402747/0001511164-16-000906-index.html")</f>
        <v>http://www.sec.gov/Archives/edgar/data/1402747/0001511164-16-000906-index.html</v>
      </c>
    </row>
    <row r="1389" spans="1:6" x14ac:dyDescent="0.2">
      <c r="A1389" t="s">
        <v>1280</v>
      </c>
      <c r="B1389" s="1">
        <v>1435387</v>
      </c>
      <c r="C1389" s="1">
        <v>1382</v>
      </c>
      <c r="D1389" s="2">
        <v>42535</v>
      </c>
      <c r="E1389" s="1" t="s">
        <v>18</v>
      </c>
      <c r="F1389" t="str">
        <f>HYPERLINK("http://www.sec.gov/Archives/edgar/data/1435387/0001144204-16-108217-index.html")</f>
        <v>http://www.sec.gov/Archives/edgar/data/1435387/0001144204-16-108217-index.html</v>
      </c>
    </row>
    <row r="1390" spans="1:6" x14ac:dyDescent="0.2">
      <c r="A1390" t="s">
        <v>1281</v>
      </c>
      <c r="B1390" s="1">
        <v>1514183</v>
      </c>
      <c r="C1390" s="1">
        <v>6159</v>
      </c>
      <c r="D1390" s="2">
        <v>42535</v>
      </c>
      <c r="E1390" s="1" t="s">
        <v>18</v>
      </c>
      <c r="F1390" t="str">
        <f>HYPERLINK("http://www.sec.gov/Archives/edgar/data/1514183/0001213900-16-014221-index.html")</f>
        <v>http://www.sec.gov/Archives/edgar/data/1514183/0001213900-16-014221-index.html</v>
      </c>
    </row>
    <row r="1391" spans="1:6" x14ac:dyDescent="0.2">
      <c r="A1391" t="s">
        <v>1282</v>
      </c>
      <c r="B1391" s="1">
        <v>1527722</v>
      </c>
      <c r="C1391" s="1">
        <v>6770</v>
      </c>
      <c r="D1391" s="2">
        <v>42535</v>
      </c>
      <c r="E1391" s="1" t="s">
        <v>18</v>
      </c>
      <c r="F1391" t="str">
        <f>HYPERLINK("http://www.sec.gov/Archives/edgar/data/1527722/0001213900-16-014213-index.html")</f>
        <v>http://www.sec.gov/Archives/edgar/data/1527722/0001213900-16-014213-index.html</v>
      </c>
    </row>
    <row r="1392" spans="1:6" x14ac:dyDescent="0.2">
      <c r="A1392" t="s">
        <v>178</v>
      </c>
      <c r="B1392" s="1">
        <v>17313</v>
      </c>
      <c r="C1392" s="1">
        <v>6189</v>
      </c>
      <c r="D1392" s="2">
        <v>42535</v>
      </c>
      <c r="E1392" s="1" t="s">
        <v>18</v>
      </c>
      <c r="F1392" t="str">
        <f>HYPERLINK("http://www.sec.gov/Archives/edgar/data/17313/0001140361-16-069706-index.html")</f>
        <v>http://www.sec.gov/Archives/edgar/data/17313/0001140361-16-069706-index.html</v>
      </c>
    </row>
    <row r="1393" spans="1:6" x14ac:dyDescent="0.2">
      <c r="A1393" t="s">
        <v>1004</v>
      </c>
      <c r="B1393" s="1">
        <v>317788</v>
      </c>
      <c r="C1393" s="1">
        <v>6794</v>
      </c>
      <c r="D1393" s="2">
        <v>42535</v>
      </c>
      <c r="E1393" s="1" t="s">
        <v>18</v>
      </c>
      <c r="F1393" t="str">
        <f>HYPERLINK("http://www.sec.gov/Archives/edgar/data/317788/0001628280-16-017110-index.html")</f>
        <v>http://www.sec.gov/Archives/edgar/data/317788/0001628280-16-017110-index.html</v>
      </c>
    </row>
    <row r="1394" spans="1:6" x14ac:dyDescent="0.2">
      <c r="A1394" t="s">
        <v>1015</v>
      </c>
      <c r="B1394" s="1">
        <v>918251</v>
      </c>
      <c r="C1394" s="1">
        <v>3714</v>
      </c>
      <c r="D1394" s="2">
        <v>42535</v>
      </c>
      <c r="E1394" s="1" t="s">
        <v>18</v>
      </c>
      <c r="F1394" t="str">
        <f>HYPERLINK("http://www.sec.gov/Archives/edgar/data/918251/0001140361-16-069709-index.html")</f>
        <v>http://www.sec.gov/Archives/edgar/data/918251/0001140361-16-069709-index.html</v>
      </c>
    </row>
    <row r="1395" spans="1:6" x14ac:dyDescent="0.2">
      <c r="A1395" t="s">
        <v>1283</v>
      </c>
      <c r="B1395" s="1">
        <v>930775</v>
      </c>
      <c r="C1395" s="1">
        <v>3841</v>
      </c>
      <c r="D1395" s="2">
        <v>42535</v>
      </c>
      <c r="E1395" s="1" t="s">
        <v>18</v>
      </c>
      <c r="F1395" t="str">
        <f>HYPERLINK("http://www.sec.gov/Archives/edgar/data/930775/0001079973-16-001021-index.html")</f>
        <v>http://www.sec.gov/Archives/edgar/data/930775/0001079973-16-001021-index.html</v>
      </c>
    </row>
    <row r="1396" spans="1:6" x14ac:dyDescent="0.2">
      <c r="A1396" t="s">
        <v>1284</v>
      </c>
      <c r="B1396" s="1">
        <v>1107694</v>
      </c>
      <c r="C1396" s="1">
        <v>7370</v>
      </c>
      <c r="D1396" s="2">
        <v>42534</v>
      </c>
      <c r="E1396" s="1" t="s">
        <v>42</v>
      </c>
      <c r="F1396" t="str">
        <f>HYPERLINK("http://www.sec.gov/Archives/edgar/data/1107694/0001107694-16-000086-index.html")</f>
        <v>http://www.sec.gov/Archives/edgar/data/1107694/0001107694-16-000086-index.html</v>
      </c>
    </row>
    <row r="1397" spans="1:6" x14ac:dyDescent="0.2">
      <c r="A1397" t="s">
        <v>1285</v>
      </c>
      <c r="B1397" s="1">
        <v>1289636</v>
      </c>
      <c r="C1397" s="1">
        <v>3533</v>
      </c>
      <c r="D1397" s="2">
        <v>42534</v>
      </c>
      <c r="E1397" s="1" t="s">
        <v>18</v>
      </c>
      <c r="F1397" t="str">
        <f>HYPERLINK("http://www.sec.gov/Archives/edgar/data/1289636/0001096906-16-001679-index.html")</f>
        <v>http://www.sec.gov/Archives/edgar/data/1289636/0001096906-16-001679-index.html</v>
      </c>
    </row>
    <row r="1398" spans="1:6" x14ac:dyDescent="0.2">
      <c r="A1398" t="s">
        <v>1286</v>
      </c>
      <c r="B1398" s="1">
        <v>1293593</v>
      </c>
      <c r="C1398" s="1">
        <v>2020</v>
      </c>
      <c r="D1398" s="2">
        <v>42534</v>
      </c>
      <c r="E1398" s="1" t="s">
        <v>18</v>
      </c>
      <c r="F1398" t="str">
        <f>HYPERLINK("http://www.sec.gov/Archives/edgar/data/1293593/0001571049-16-015941-index.html")</f>
        <v>http://www.sec.gov/Archives/edgar/data/1293593/0001571049-16-015941-index.html</v>
      </c>
    </row>
    <row r="1399" spans="1:6" x14ac:dyDescent="0.2">
      <c r="A1399" t="s">
        <v>1287</v>
      </c>
      <c r="B1399" s="1">
        <v>1304492</v>
      </c>
      <c r="C1399" s="1">
        <v>4813</v>
      </c>
      <c r="D1399" s="2">
        <v>42534</v>
      </c>
      <c r="E1399" s="1" t="s">
        <v>18</v>
      </c>
      <c r="F1399" t="str">
        <f>HYPERLINK("http://www.sec.gov/Archives/edgar/data/1304492/0001304492-16-000053-index.html")</f>
        <v>http://www.sec.gov/Archives/edgar/data/1304492/0001304492-16-000053-index.html</v>
      </c>
    </row>
    <row r="1400" spans="1:6" x14ac:dyDescent="0.2">
      <c r="A1400" t="s">
        <v>1288</v>
      </c>
      <c r="B1400" s="1">
        <v>1602078</v>
      </c>
      <c r="C1400" s="1">
        <v>3841</v>
      </c>
      <c r="D1400" s="2">
        <v>42534</v>
      </c>
      <c r="E1400" s="1" t="s">
        <v>18</v>
      </c>
      <c r="F1400" t="str">
        <f>HYPERLINK("http://www.sec.gov/Archives/edgar/data/1602078/0001079973-16-001016-index.html")</f>
        <v>http://www.sec.gov/Archives/edgar/data/1602078/0001079973-16-001016-index.html</v>
      </c>
    </row>
    <row r="1401" spans="1:6" x14ac:dyDescent="0.2">
      <c r="A1401" t="s">
        <v>1289</v>
      </c>
      <c r="B1401" s="1">
        <v>1620070</v>
      </c>
      <c r="C1401" s="1">
        <v>2835</v>
      </c>
      <c r="D1401" s="2">
        <v>42534</v>
      </c>
      <c r="E1401" s="1" t="s">
        <v>18</v>
      </c>
      <c r="F1401" t="str">
        <f>HYPERLINK("http://www.sec.gov/Archives/edgar/data/1620070/0001511164-16-000903-index.html")</f>
        <v>http://www.sec.gov/Archives/edgar/data/1620070/0001511164-16-000903-index.html</v>
      </c>
    </row>
    <row r="1402" spans="1:6" x14ac:dyDescent="0.2">
      <c r="A1402" t="s">
        <v>1290</v>
      </c>
      <c r="B1402" s="1">
        <v>724445</v>
      </c>
      <c r="C1402" s="1">
        <v>2835</v>
      </c>
      <c r="D1402" s="2">
        <v>42534</v>
      </c>
      <c r="E1402" s="1" t="s">
        <v>18</v>
      </c>
      <c r="F1402" t="str">
        <f>HYPERLINK("http://www.sec.gov/Archives/edgar/data/724445/0001104659-16-126875-index.html")</f>
        <v>http://www.sec.gov/Archives/edgar/data/724445/0001104659-16-126875-index.html</v>
      </c>
    </row>
    <row r="1403" spans="1:6" x14ac:dyDescent="0.2">
      <c r="A1403" t="s">
        <v>1291</v>
      </c>
      <c r="B1403" s="1">
        <v>1126741</v>
      </c>
      <c r="C1403" s="1">
        <v>3674</v>
      </c>
      <c r="D1403" s="2">
        <v>42531</v>
      </c>
      <c r="E1403" s="1" t="s">
        <v>18</v>
      </c>
      <c r="F1403" t="str">
        <f>HYPERLINK("http://www.sec.gov/Archives/edgar/data/1126741/0001558370-16-006362-index.html")</f>
        <v>http://www.sec.gov/Archives/edgar/data/1126741/0001558370-16-006362-index.html</v>
      </c>
    </row>
    <row r="1404" spans="1:6" x14ac:dyDescent="0.2">
      <c r="A1404" t="s">
        <v>1292</v>
      </c>
      <c r="B1404" s="1">
        <v>1288195</v>
      </c>
      <c r="C1404" s="1">
        <v>4953</v>
      </c>
      <c r="D1404" s="2">
        <v>42531</v>
      </c>
      <c r="E1404" s="1" t="s">
        <v>18</v>
      </c>
      <c r="F1404" t="str">
        <f>HYPERLINK("http://www.sec.gov/Archives/edgar/data/1288195/0001019687-16-006640-index.html")</f>
        <v>http://www.sec.gov/Archives/edgar/data/1288195/0001019687-16-006640-index.html</v>
      </c>
    </row>
    <row r="1405" spans="1:6" x14ac:dyDescent="0.2">
      <c r="A1405" t="s">
        <v>1293</v>
      </c>
      <c r="B1405" s="1">
        <v>1397183</v>
      </c>
      <c r="C1405" s="1">
        <v>7372</v>
      </c>
      <c r="D1405" s="2">
        <v>42531</v>
      </c>
      <c r="E1405" s="1" t="s">
        <v>18</v>
      </c>
      <c r="F1405" t="str">
        <f>HYPERLINK("http://www.sec.gov/Archives/edgar/data/1397183/0001493152-16-010721-index.html")</f>
        <v>http://www.sec.gov/Archives/edgar/data/1397183/0001493152-16-010721-index.html</v>
      </c>
    </row>
    <row r="1406" spans="1:6" x14ac:dyDescent="0.2">
      <c r="A1406" t="s">
        <v>1178</v>
      </c>
      <c r="B1406" s="1">
        <v>1479000</v>
      </c>
      <c r="C1406" s="1">
        <v>1381</v>
      </c>
      <c r="D1406" s="2">
        <v>42531</v>
      </c>
      <c r="E1406" s="1" t="s">
        <v>18</v>
      </c>
      <c r="F1406" t="str">
        <f>HYPERLINK("http://www.sec.gov/Archives/edgar/data/1479000/0001264931-16-000351-index.html")</f>
        <v>http://www.sec.gov/Archives/edgar/data/1479000/0001264931-16-000351-index.html</v>
      </c>
    </row>
    <row r="1407" spans="1:6" x14ac:dyDescent="0.2">
      <c r="A1407" t="s">
        <v>1294</v>
      </c>
      <c r="B1407" s="1">
        <v>1483830</v>
      </c>
      <c r="C1407" s="1">
        <v>4922</v>
      </c>
      <c r="D1407" s="2">
        <v>42531</v>
      </c>
      <c r="E1407" s="1" t="s">
        <v>18</v>
      </c>
      <c r="F1407" t="str">
        <f>HYPERLINK("http://www.sec.gov/Archives/edgar/data/1483830/0001047469-16-013761-index.html")</f>
        <v>http://www.sec.gov/Archives/edgar/data/1483830/0001047469-16-013761-index.html</v>
      </c>
    </row>
    <row r="1408" spans="1:6" x14ac:dyDescent="0.2">
      <c r="A1408" t="s">
        <v>1295</v>
      </c>
      <c r="B1408" s="1">
        <v>1516079</v>
      </c>
      <c r="C1408" s="1">
        <v>7311</v>
      </c>
      <c r="D1408" s="2">
        <v>42531</v>
      </c>
      <c r="E1408" s="1" t="s">
        <v>18</v>
      </c>
      <c r="F1408" t="str">
        <f>HYPERLINK("http://www.sec.gov/Archives/edgar/data/1516079/0001019687-16-006645-index.html")</f>
        <v>http://www.sec.gov/Archives/edgar/data/1516079/0001019687-16-006645-index.html</v>
      </c>
    </row>
    <row r="1409" spans="1:6" x14ac:dyDescent="0.2">
      <c r="A1409" t="s">
        <v>1296</v>
      </c>
      <c r="B1409" s="1">
        <v>1571384</v>
      </c>
      <c r="C1409" s="1">
        <v>4899</v>
      </c>
      <c r="D1409" s="2">
        <v>42531</v>
      </c>
      <c r="E1409" s="1" t="s">
        <v>18</v>
      </c>
      <c r="F1409" t="str">
        <f>HYPERLINK("http://www.sec.gov/Archives/edgar/data/1571384/0000721748-16-001363-index.html")</f>
        <v>http://www.sec.gov/Archives/edgar/data/1571384/0000721748-16-001363-index.html</v>
      </c>
    </row>
    <row r="1410" spans="1:6" x14ac:dyDescent="0.2">
      <c r="A1410" t="s">
        <v>1297</v>
      </c>
      <c r="B1410" s="1">
        <v>1622577</v>
      </c>
      <c r="C1410" s="1">
        <v>6770</v>
      </c>
      <c r="D1410" s="2">
        <v>42531</v>
      </c>
      <c r="E1410" s="1" t="s">
        <v>18</v>
      </c>
      <c r="F1410" t="str">
        <f>HYPERLINK("http://www.sec.gov/Archives/edgar/data/1622577/0001213900-16-014135-index.html")</f>
        <v>http://www.sec.gov/Archives/edgar/data/1622577/0001213900-16-014135-index.html</v>
      </c>
    </row>
    <row r="1411" spans="1:6" x14ac:dyDescent="0.2">
      <c r="A1411" t="s">
        <v>1298</v>
      </c>
      <c r="B1411" s="1">
        <v>69733</v>
      </c>
      <c r="C1411" s="1">
        <v>5812</v>
      </c>
      <c r="D1411" s="2">
        <v>42531</v>
      </c>
      <c r="E1411" s="1" t="s">
        <v>18</v>
      </c>
      <c r="F1411" t="str">
        <f>HYPERLINK("http://www.sec.gov/Archives/edgar/data/69733/0001437749-16-033631-index.html")</f>
        <v>http://www.sec.gov/Archives/edgar/data/69733/0001437749-16-033631-index.html</v>
      </c>
    </row>
    <row r="1412" spans="1:6" x14ac:dyDescent="0.2">
      <c r="A1412" t="s">
        <v>1012</v>
      </c>
      <c r="B1412" s="1">
        <v>78749</v>
      </c>
      <c r="C1412" s="1">
        <v>7373</v>
      </c>
      <c r="D1412" s="2">
        <v>42531</v>
      </c>
      <c r="E1412" s="1" t="s">
        <v>18</v>
      </c>
      <c r="F1412" t="str">
        <f>HYPERLINK("http://www.sec.gov/Archives/edgar/data/78749/0000078749-16-000080-index.html")</f>
        <v>http://www.sec.gov/Archives/edgar/data/78749/0000078749-16-000080-index.html</v>
      </c>
    </row>
    <row r="1413" spans="1:6" x14ac:dyDescent="0.2">
      <c r="A1413" t="s">
        <v>1299</v>
      </c>
      <c r="B1413" s="1">
        <v>831547</v>
      </c>
      <c r="C1413" s="1">
        <v>2834</v>
      </c>
      <c r="D1413" s="2">
        <v>42531</v>
      </c>
      <c r="E1413" s="1" t="s">
        <v>42</v>
      </c>
      <c r="F1413" t="str">
        <f>HYPERLINK("http://www.sec.gov/Archives/edgar/data/831547/0000831547-16-000084-index.html")</f>
        <v>http://www.sec.gov/Archives/edgar/data/831547/0000831547-16-000084-index.html</v>
      </c>
    </row>
    <row r="1414" spans="1:6" x14ac:dyDescent="0.2">
      <c r="A1414" t="s">
        <v>1300</v>
      </c>
      <c r="B1414" s="1">
        <v>874866</v>
      </c>
      <c r="C1414" s="1">
        <v>6411</v>
      </c>
      <c r="D1414" s="2">
        <v>42531</v>
      </c>
      <c r="E1414" s="1" t="s">
        <v>18</v>
      </c>
      <c r="F1414" t="str">
        <f>HYPERLINK("http://www.sec.gov/Archives/edgar/data/874866/0001193125-16-619107-index.html")</f>
        <v>http://www.sec.gov/Archives/edgar/data/874866/0001193125-16-619107-index.html</v>
      </c>
    </row>
    <row r="1415" spans="1:6" x14ac:dyDescent="0.2">
      <c r="A1415" t="s">
        <v>1301</v>
      </c>
      <c r="B1415" s="1">
        <v>895464</v>
      </c>
      <c r="C1415" s="1">
        <v>3845</v>
      </c>
      <c r="D1415" s="2">
        <v>42531</v>
      </c>
      <c r="E1415" s="1" t="s">
        <v>18</v>
      </c>
      <c r="F1415" t="str">
        <f>HYPERLINK("http://www.sec.gov/Archives/edgar/data/895464/0001193805-16-003444-index.html")</f>
        <v>http://www.sec.gov/Archives/edgar/data/895464/0001193805-16-003444-index.html</v>
      </c>
    </row>
    <row r="1416" spans="1:6" x14ac:dyDescent="0.2">
      <c r="A1416" t="s">
        <v>1302</v>
      </c>
      <c r="B1416" s="1">
        <v>1009759</v>
      </c>
      <c r="C1416" s="1">
        <v>3510</v>
      </c>
      <c r="D1416" s="2">
        <v>42530</v>
      </c>
      <c r="E1416" s="1" t="s">
        <v>18</v>
      </c>
      <c r="F1416" t="str">
        <f>HYPERLINK("http://www.sec.gov/Archives/edgar/data/1009759/0001558370-16-006343-index.html")</f>
        <v>http://www.sec.gov/Archives/edgar/data/1009759/0001558370-16-006343-index.html</v>
      </c>
    </row>
    <row r="1417" spans="1:6" x14ac:dyDescent="0.2">
      <c r="A1417" t="s">
        <v>1303</v>
      </c>
      <c r="B1417" s="1">
        <v>1024626</v>
      </c>
      <c r="C1417" s="1">
        <v>2834</v>
      </c>
      <c r="D1417" s="2">
        <v>42530</v>
      </c>
      <c r="E1417" s="1" t="s">
        <v>42</v>
      </c>
      <c r="F1417" t="str">
        <f>HYPERLINK("http://www.sec.gov/Archives/edgar/data/1024626/0001562884-16-000027-index.html")</f>
        <v>http://www.sec.gov/Archives/edgar/data/1024626/0001562884-16-000027-index.html</v>
      </c>
    </row>
    <row r="1418" spans="1:6" x14ac:dyDescent="0.2">
      <c r="A1418" t="s">
        <v>1304</v>
      </c>
      <c r="B1418" s="1">
        <v>1497253</v>
      </c>
      <c r="C1418" s="1">
        <v>2836</v>
      </c>
      <c r="D1418" s="2">
        <v>42530</v>
      </c>
      <c r="E1418" s="1" t="s">
        <v>18</v>
      </c>
      <c r="F1418" t="str">
        <f>HYPERLINK("http://www.sec.gov/Archives/edgar/data/1497253/0001564590-16-020442-index.html")</f>
        <v>http://www.sec.gov/Archives/edgar/data/1497253/0001564590-16-020442-index.html</v>
      </c>
    </row>
    <row r="1419" spans="1:6" x14ac:dyDescent="0.2">
      <c r="A1419" t="s">
        <v>1305</v>
      </c>
      <c r="B1419" s="1">
        <v>25895</v>
      </c>
      <c r="C1419" s="1">
        <v>2211</v>
      </c>
      <c r="D1419" s="2">
        <v>42530</v>
      </c>
      <c r="E1419" s="1" t="s">
        <v>18</v>
      </c>
      <c r="F1419" t="str">
        <f>HYPERLINK("http://www.sec.gov/Archives/edgar/data/25895/0001437749-16-033565-index.html")</f>
        <v>http://www.sec.gov/Archives/edgar/data/25895/0001437749-16-033565-index.html</v>
      </c>
    </row>
    <row r="1420" spans="1:6" x14ac:dyDescent="0.2">
      <c r="A1420" t="s">
        <v>1306</v>
      </c>
      <c r="B1420" s="1">
        <v>863895</v>
      </c>
      <c r="C1420" s="1">
        <v>3089</v>
      </c>
      <c r="D1420" s="2">
        <v>42530</v>
      </c>
      <c r="E1420" s="1" t="s">
        <v>18</v>
      </c>
      <c r="F1420" t="str">
        <f>HYPERLINK("http://www.sec.gov/Archives/edgar/data/863895/0001615774-16-005833-index.html")</f>
        <v>http://www.sec.gov/Archives/edgar/data/863895/0001615774-16-005833-index.html</v>
      </c>
    </row>
    <row r="1421" spans="1:6" x14ac:dyDescent="0.2">
      <c r="A1421" t="s">
        <v>1307</v>
      </c>
      <c r="B1421" s="1">
        <v>945699</v>
      </c>
      <c r="C1421" s="1">
        <v>3674</v>
      </c>
      <c r="D1421" s="2">
        <v>42530</v>
      </c>
      <c r="E1421" s="1" t="s">
        <v>18</v>
      </c>
      <c r="F1421" t="str">
        <f>HYPERLINK("http://www.sec.gov/Archives/edgar/data/945699/0001193125-16-616907-index.html")</f>
        <v>http://www.sec.gov/Archives/edgar/data/945699/0001193125-16-616907-index.html</v>
      </c>
    </row>
    <row r="1422" spans="1:6" x14ac:dyDescent="0.2">
      <c r="A1422" t="s">
        <v>1308</v>
      </c>
      <c r="B1422" s="1">
        <v>1099234</v>
      </c>
      <c r="C1422" s="1">
        <v>7841</v>
      </c>
      <c r="D1422" s="2">
        <v>42529</v>
      </c>
      <c r="E1422" s="1" t="s">
        <v>18</v>
      </c>
      <c r="F1422" t="str">
        <f>HYPERLINK("http://www.sec.gov/Archives/edgar/data/1099234/0001144204-16-107375-index.html")</f>
        <v>http://www.sec.gov/Archives/edgar/data/1099234/0001144204-16-107375-index.html</v>
      </c>
    </row>
    <row r="1423" spans="1:6" x14ac:dyDescent="0.2">
      <c r="A1423" t="s">
        <v>1309</v>
      </c>
      <c r="B1423" s="1">
        <v>1541451</v>
      </c>
      <c r="C1423" s="1">
        <v>6189</v>
      </c>
      <c r="D1423" s="2">
        <v>42529</v>
      </c>
      <c r="E1423" s="1" t="s">
        <v>42</v>
      </c>
      <c r="F1423" t="str">
        <f>HYPERLINK("http://www.sec.gov/Archives/edgar/data/1541451/0001056404-16-004733-index.html")</f>
        <v>http://www.sec.gov/Archives/edgar/data/1541451/0001056404-16-004733-index.html</v>
      </c>
    </row>
    <row r="1424" spans="1:6" x14ac:dyDescent="0.2">
      <c r="A1424" t="s">
        <v>1310</v>
      </c>
      <c r="B1424" s="1">
        <v>1592329</v>
      </c>
      <c r="C1424" s="1">
        <v>6035</v>
      </c>
      <c r="D1424" s="2">
        <v>42529</v>
      </c>
      <c r="E1424" s="1" t="s">
        <v>18</v>
      </c>
      <c r="F1424" t="str">
        <f>HYPERLINK("http://www.sec.gov/Archives/edgar/data/1592329/0001193125-16-616556-index.html")</f>
        <v>http://www.sec.gov/Archives/edgar/data/1592329/0001193125-16-616556-index.html</v>
      </c>
    </row>
    <row r="1425" spans="1:6" x14ac:dyDescent="0.2">
      <c r="A1425" t="s">
        <v>1311</v>
      </c>
      <c r="B1425" s="1">
        <v>1624794</v>
      </c>
      <c r="C1425" s="1">
        <v>2891</v>
      </c>
      <c r="D1425" s="2">
        <v>42529</v>
      </c>
      <c r="E1425" s="1" t="s">
        <v>18</v>
      </c>
      <c r="F1425" t="str">
        <f>HYPERLINK("http://www.sec.gov/Archives/edgar/data/1624794/0001193125-16-616636-index.html")</f>
        <v>http://www.sec.gov/Archives/edgar/data/1624794/0001193125-16-616636-index.html</v>
      </c>
    </row>
    <row r="1426" spans="1:6" x14ac:dyDescent="0.2">
      <c r="A1426" t="s">
        <v>1312</v>
      </c>
      <c r="B1426" s="1">
        <v>88948</v>
      </c>
      <c r="C1426" s="1">
        <v>2033</v>
      </c>
      <c r="D1426" s="2">
        <v>42529</v>
      </c>
      <c r="E1426" s="1" t="s">
        <v>18</v>
      </c>
      <c r="F1426" t="str">
        <f>HYPERLINK("http://www.sec.gov/Archives/edgar/data/88948/0000088948-16-000051-index.html")</f>
        <v>http://www.sec.gov/Archives/edgar/data/88948/0000088948-16-000051-index.html</v>
      </c>
    </row>
    <row r="1427" spans="1:6" x14ac:dyDescent="0.2">
      <c r="A1427" t="s">
        <v>1313</v>
      </c>
      <c r="B1427" s="1">
        <v>1379245</v>
      </c>
      <c r="C1427" s="1">
        <v>7510</v>
      </c>
      <c r="D1427" s="2">
        <v>42528</v>
      </c>
      <c r="E1427" s="1" t="s">
        <v>18</v>
      </c>
      <c r="F1427" t="str">
        <f>HYPERLINK("http://www.sec.gov/Archives/edgar/data/1379245/0001379245-16-000039-index.html")</f>
        <v>http://www.sec.gov/Archives/edgar/data/1379245/0001379245-16-000039-index.html</v>
      </c>
    </row>
    <row r="1428" spans="1:6" x14ac:dyDescent="0.2">
      <c r="A1428" t="s">
        <v>1314</v>
      </c>
      <c r="B1428" s="1">
        <v>1464165</v>
      </c>
      <c r="C1428" s="1">
        <v>2834</v>
      </c>
      <c r="D1428" s="2">
        <v>42528</v>
      </c>
      <c r="E1428" s="1" t="s">
        <v>42</v>
      </c>
      <c r="F1428" t="str">
        <f>HYPERLINK("http://www.sec.gov/Archives/edgar/data/1464165/0001477932-16-010741-index.html")</f>
        <v>http://www.sec.gov/Archives/edgar/data/1464165/0001477932-16-010741-index.html</v>
      </c>
    </row>
    <row r="1429" spans="1:6" x14ac:dyDescent="0.2">
      <c r="A1429" t="s">
        <v>1315</v>
      </c>
      <c r="B1429" s="1">
        <v>315449</v>
      </c>
      <c r="C1429" s="1">
        <v>3679</v>
      </c>
      <c r="D1429" s="2">
        <v>42528</v>
      </c>
      <c r="E1429" s="1" t="s">
        <v>18</v>
      </c>
      <c r="F1429" t="str">
        <f>HYPERLINK("http://www.sec.gov/Archives/edgar/data/315449/0000315449-16-000115-index.html")</f>
        <v>http://www.sec.gov/Archives/edgar/data/315449/0000315449-16-000115-index.html</v>
      </c>
    </row>
    <row r="1430" spans="1:6" x14ac:dyDescent="0.2">
      <c r="A1430" t="s">
        <v>1316</v>
      </c>
      <c r="B1430" s="1">
        <v>719274</v>
      </c>
      <c r="C1430" s="1">
        <v>3825</v>
      </c>
      <c r="D1430" s="2">
        <v>42528</v>
      </c>
      <c r="E1430" s="1" t="s">
        <v>18</v>
      </c>
      <c r="F1430" t="str">
        <f>HYPERLINK("http://www.sec.gov/Archives/edgar/data/719274/0001437749-16-033427-index.html")</f>
        <v>http://www.sec.gov/Archives/edgar/data/719274/0001437749-16-033427-index.html</v>
      </c>
    </row>
    <row r="1431" spans="1:6" x14ac:dyDescent="0.2">
      <c r="A1431" t="s">
        <v>1317</v>
      </c>
      <c r="B1431" s="1">
        <v>1065598</v>
      </c>
      <c r="C1431" s="1">
        <v>3570</v>
      </c>
      <c r="D1431" s="2">
        <v>42527</v>
      </c>
      <c r="E1431" s="1" t="s">
        <v>18</v>
      </c>
      <c r="F1431" t="str">
        <f>HYPERLINK("http://www.sec.gov/Archives/edgar/data/1065598/0001056520-16-000256-index.html")</f>
        <v>http://www.sec.gov/Archives/edgar/data/1065598/0001056520-16-000256-index.html</v>
      </c>
    </row>
    <row r="1432" spans="1:6" x14ac:dyDescent="0.2">
      <c r="A1432" t="s">
        <v>1292</v>
      </c>
      <c r="B1432" s="1">
        <v>1288195</v>
      </c>
      <c r="C1432" s="1">
        <v>4953</v>
      </c>
      <c r="D1432" s="2">
        <v>42527</v>
      </c>
      <c r="E1432" s="1" t="s">
        <v>18</v>
      </c>
      <c r="F1432" t="str">
        <f>HYPERLINK("http://www.sec.gov/Archives/edgar/data/1288195/0001019687-16-006573-index.html")</f>
        <v>http://www.sec.gov/Archives/edgar/data/1288195/0001019687-16-006573-index.html</v>
      </c>
    </row>
    <row r="1433" spans="1:6" x14ac:dyDescent="0.2">
      <c r="A1433" t="s">
        <v>1318</v>
      </c>
      <c r="B1433" s="1">
        <v>1313024</v>
      </c>
      <c r="C1433" s="1">
        <v>1311</v>
      </c>
      <c r="D1433" s="2">
        <v>42527</v>
      </c>
      <c r="E1433" s="1" t="s">
        <v>18</v>
      </c>
      <c r="F1433" t="str">
        <f>HYPERLINK("http://www.sec.gov/Archives/edgar/data/1313024/0001558370-16-006276-index.html")</f>
        <v>http://www.sec.gov/Archives/edgar/data/1313024/0001558370-16-006276-index.html</v>
      </c>
    </row>
    <row r="1434" spans="1:6" x14ac:dyDescent="0.2">
      <c r="A1434" t="s">
        <v>1319</v>
      </c>
      <c r="B1434" s="1">
        <v>1425173</v>
      </c>
      <c r="C1434" s="1">
        <v>1000</v>
      </c>
      <c r="D1434" s="2">
        <v>42527</v>
      </c>
      <c r="E1434" s="1" t="s">
        <v>18</v>
      </c>
      <c r="F1434" t="str">
        <f>HYPERLINK("http://www.sec.gov/Archives/edgar/data/1425173/0001477932-16-010712-index.html")</f>
        <v>http://www.sec.gov/Archives/edgar/data/1425173/0001477932-16-010712-index.html</v>
      </c>
    </row>
    <row r="1435" spans="1:6" x14ac:dyDescent="0.2">
      <c r="A1435" t="s">
        <v>1320</v>
      </c>
      <c r="B1435" s="1">
        <v>1445109</v>
      </c>
      <c r="C1435" s="1">
        <v>1311</v>
      </c>
      <c r="D1435" s="2">
        <v>42527</v>
      </c>
      <c r="E1435" s="1" t="s">
        <v>18</v>
      </c>
      <c r="F1435" t="str">
        <f>HYPERLINK("http://www.sec.gov/Archives/edgar/data/1445109/0001185185-16-004795-index.html")</f>
        <v>http://www.sec.gov/Archives/edgar/data/1445109/0001185185-16-004795-index.html</v>
      </c>
    </row>
    <row r="1436" spans="1:6" x14ac:dyDescent="0.2">
      <c r="A1436" t="s">
        <v>1321</v>
      </c>
      <c r="B1436" s="1">
        <v>1563699</v>
      </c>
      <c r="C1436" s="1">
        <v>7374</v>
      </c>
      <c r="D1436" s="2">
        <v>42527</v>
      </c>
      <c r="E1436" s="1" t="s">
        <v>18</v>
      </c>
      <c r="F1436" t="str">
        <f>HYPERLINK("http://www.sec.gov/Archives/edgar/data/1563699/0001563699-16-000104-index.html")</f>
        <v>http://www.sec.gov/Archives/edgar/data/1563699/0001563699-16-000104-index.html</v>
      </c>
    </row>
    <row r="1437" spans="1:6" x14ac:dyDescent="0.2">
      <c r="A1437" t="s">
        <v>1322</v>
      </c>
      <c r="B1437" s="1">
        <v>1588242</v>
      </c>
      <c r="C1437" s="1">
        <v>1311</v>
      </c>
      <c r="D1437" s="2">
        <v>42527</v>
      </c>
      <c r="E1437" s="1" t="s">
        <v>18</v>
      </c>
      <c r="F1437" t="str">
        <f>HYPERLINK("http://www.sec.gov/Archives/edgar/data/1588242/0001558370-16-006276-index.html")</f>
        <v>http://www.sec.gov/Archives/edgar/data/1588242/0001558370-16-006276-index.html</v>
      </c>
    </row>
    <row r="1438" spans="1:6" x14ac:dyDescent="0.2">
      <c r="A1438" t="s">
        <v>1323</v>
      </c>
      <c r="B1438" s="1">
        <v>1619558</v>
      </c>
      <c r="C1438" s="1">
        <v>7389</v>
      </c>
      <c r="D1438" s="2">
        <v>42527</v>
      </c>
      <c r="E1438" s="1" t="s">
        <v>18</v>
      </c>
      <c r="F1438" t="str">
        <f>HYPERLINK("http://www.sec.gov/Archives/edgar/data/1619558/0001144204-16-106879-index.html")</f>
        <v>http://www.sec.gov/Archives/edgar/data/1619558/0001144204-16-106879-index.html</v>
      </c>
    </row>
    <row r="1439" spans="1:6" x14ac:dyDescent="0.2">
      <c r="A1439" t="s">
        <v>1324</v>
      </c>
      <c r="B1439" s="1">
        <v>1636050</v>
      </c>
      <c r="C1439" s="1">
        <v>2834</v>
      </c>
      <c r="D1439" s="2">
        <v>42527</v>
      </c>
      <c r="E1439" s="1" t="s">
        <v>18</v>
      </c>
      <c r="F1439" t="str">
        <f>HYPERLINK("http://www.sec.gov/Archives/edgar/data/1636050/0001636050-16-000042-index.html")</f>
        <v>http://www.sec.gov/Archives/edgar/data/1636050/0001636050-16-000042-index.html</v>
      </c>
    </row>
    <row r="1440" spans="1:6" x14ac:dyDescent="0.2">
      <c r="A1440" t="s">
        <v>1325</v>
      </c>
      <c r="B1440" s="1">
        <v>701869</v>
      </c>
      <c r="C1440" s="1">
        <v>6311</v>
      </c>
      <c r="D1440" s="2">
        <v>42527</v>
      </c>
      <c r="E1440" s="1" t="s">
        <v>18</v>
      </c>
      <c r="F1440" t="str">
        <f>HYPERLINK("http://www.sec.gov/Archives/edgar/data/701869/0000701869-16-000076-index.html")</f>
        <v>http://www.sec.gov/Archives/edgar/data/701869/0000701869-16-000076-index.html</v>
      </c>
    </row>
    <row r="1441" spans="1:6" x14ac:dyDescent="0.2">
      <c r="A1441" t="s">
        <v>1326</v>
      </c>
      <c r="B1441" s="1">
        <v>724004</v>
      </c>
      <c r="C1441" s="1">
        <v>3823</v>
      </c>
      <c r="D1441" s="2">
        <v>42527</v>
      </c>
      <c r="E1441" s="1" t="s">
        <v>18</v>
      </c>
      <c r="F1441" t="str">
        <f>HYPERLINK("http://www.sec.gov/Archives/edgar/data/724004/0001437749-16-033334-index.html")</f>
        <v>http://www.sec.gov/Archives/edgar/data/724004/0001437749-16-033334-index.html</v>
      </c>
    </row>
    <row r="1442" spans="1:6" x14ac:dyDescent="0.2">
      <c r="A1442" t="s">
        <v>1327</v>
      </c>
      <c r="B1442" s="1">
        <v>897078</v>
      </c>
      <c r="C1442" s="1">
        <v>7372</v>
      </c>
      <c r="D1442" s="2">
        <v>42527</v>
      </c>
      <c r="E1442" s="1" t="s">
        <v>42</v>
      </c>
      <c r="F1442" t="str">
        <f>HYPERLINK("http://www.sec.gov/Archives/edgar/data/897078/0001493152-16-010555-index.html")</f>
        <v>http://www.sec.gov/Archives/edgar/data/897078/0001493152-16-010555-index.html</v>
      </c>
    </row>
    <row r="1443" spans="1:6" x14ac:dyDescent="0.2">
      <c r="A1443" t="s">
        <v>1328</v>
      </c>
      <c r="B1443" s="1">
        <v>927355</v>
      </c>
      <c r="C1443" s="1">
        <v>5065</v>
      </c>
      <c r="D1443" s="2">
        <v>42527</v>
      </c>
      <c r="E1443" s="1" t="s">
        <v>18</v>
      </c>
      <c r="F1443" t="str">
        <f>HYPERLINK("http://www.sec.gov/Archives/edgar/data/927355/0001558370-16-006286-index.html")</f>
        <v>http://www.sec.gov/Archives/edgar/data/927355/0001558370-16-006286-index.html</v>
      </c>
    </row>
    <row r="1444" spans="1:6" x14ac:dyDescent="0.2">
      <c r="A1444" t="s">
        <v>1329</v>
      </c>
      <c r="B1444" s="1">
        <v>97196</v>
      </c>
      <c r="C1444" s="1">
        <v>6321</v>
      </c>
      <c r="D1444" s="2">
        <v>42527</v>
      </c>
      <c r="E1444" s="1" t="s">
        <v>18</v>
      </c>
      <c r="F1444" t="str">
        <f>HYPERLINK("http://www.sec.gov/Archives/edgar/data/97196/0000097196-16-000040-index.html")</f>
        <v>http://www.sec.gov/Archives/edgar/data/97196/0000097196-16-000040-index.html</v>
      </c>
    </row>
    <row r="1445" spans="1:6" x14ac:dyDescent="0.2">
      <c r="A1445" t="s">
        <v>1330</v>
      </c>
      <c r="B1445" s="1">
        <v>1610250</v>
      </c>
      <c r="C1445" s="1">
        <v>5661</v>
      </c>
      <c r="D1445" s="2">
        <v>42524</v>
      </c>
      <c r="E1445" s="1" t="s">
        <v>18</v>
      </c>
      <c r="F1445" t="str">
        <f>HYPERLINK("http://www.sec.gov/Archives/edgar/data/1610250/0001558370-16-006261-index.html")</f>
        <v>http://www.sec.gov/Archives/edgar/data/1610250/0001558370-16-006261-index.html</v>
      </c>
    </row>
    <row r="1446" spans="1:6" x14ac:dyDescent="0.2">
      <c r="A1446" t="s">
        <v>1331</v>
      </c>
      <c r="B1446" s="1">
        <v>46250</v>
      </c>
      <c r="C1446" s="1">
        <v>5160</v>
      </c>
      <c r="D1446" s="2">
        <v>42524</v>
      </c>
      <c r="E1446" s="1" t="s">
        <v>18</v>
      </c>
      <c r="F1446" t="str">
        <f>HYPERLINK("http://www.sec.gov/Archives/edgar/data/46250/0000046250-16-000047-index.html")</f>
        <v>http://www.sec.gov/Archives/edgar/data/46250/0000046250-16-000047-index.html</v>
      </c>
    </row>
    <row r="1447" spans="1:6" x14ac:dyDescent="0.2">
      <c r="A1447" t="s">
        <v>1026</v>
      </c>
      <c r="B1447" s="1">
        <v>709283</v>
      </c>
      <c r="C1447" s="1">
        <v>3572</v>
      </c>
      <c r="D1447" s="2">
        <v>42524</v>
      </c>
      <c r="E1447" s="1" t="s">
        <v>18</v>
      </c>
      <c r="F1447" t="str">
        <f>HYPERLINK("http://www.sec.gov/Archives/edgar/data/709283/0001628280-16-016926-index.html")</f>
        <v>http://www.sec.gov/Archives/edgar/data/709283/0001628280-16-016926-index.html</v>
      </c>
    </row>
    <row r="1448" spans="1:6" x14ac:dyDescent="0.2">
      <c r="A1448" t="s">
        <v>1332</v>
      </c>
      <c r="B1448" s="1">
        <v>1088162</v>
      </c>
      <c r="C1448" s="1">
        <v>3944</v>
      </c>
      <c r="D1448" s="2">
        <v>42523</v>
      </c>
      <c r="E1448" s="1" t="s">
        <v>18</v>
      </c>
      <c r="F1448" t="str">
        <f>HYPERLINK("http://www.sec.gov/Archives/edgar/data/1088162/0001564590-16-020244-index.html")</f>
        <v>http://www.sec.gov/Archives/edgar/data/1088162/0001564590-16-020244-index.html</v>
      </c>
    </row>
    <row r="1449" spans="1:6" x14ac:dyDescent="0.2">
      <c r="A1449" t="s">
        <v>1333</v>
      </c>
      <c r="B1449" s="1">
        <v>1165639</v>
      </c>
      <c r="C1449" s="1">
        <v>7381</v>
      </c>
      <c r="D1449" s="2">
        <v>42523</v>
      </c>
      <c r="E1449" s="1" t="s">
        <v>42</v>
      </c>
      <c r="F1449" t="str">
        <f>HYPERLINK("http://www.sec.gov/Archives/edgar/data/1165639/0001078782-16-002931-index.html")</f>
        <v>http://www.sec.gov/Archives/edgar/data/1165639/0001078782-16-002931-index.html</v>
      </c>
    </row>
    <row r="1450" spans="1:6" x14ac:dyDescent="0.2">
      <c r="A1450" t="s">
        <v>1334</v>
      </c>
      <c r="B1450" s="1">
        <v>1542013</v>
      </c>
      <c r="C1450" s="1">
        <v>5122</v>
      </c>
      <c r="D1450" s="2">
        <v>42523</v>
      </c>
      <c r="E1450" s="1" t="s">
        <v>42</v>
      </c>
      <c r="F1450" t="str">
        <f>HYPERLINK("http://www.sec.gov/Archives/edgar/data/1542013/0001079974-16-001292-index.html")</f>
        <v>http://www.sec.gov/Archives/edgar/data/1542013/0001079974-16-001292-index.html</v>
      </c>
    </row>
    <row r="1451" spans="1:6" x14ac:dyDescent="0.2">
      <c r="A1451" t="s">
        <v>1334</v>
      </c>
      <c r="B1451" s="1">
        <v>1542013</v>
      </c>
      <c r="C1451" s="1">
        <v>5122</v>
      </c>
      <c r="D1451" s="2">
        <v>42523</v>
      </c>
      <c r="E1451" s="1" t="s">
        <v>18</v>
      </c>
      <c r="F1451" t="str">
        <f>HYPERLINK("http://www.sec.gov/Archives/edgar/data/1542013/0001079974-16-001285-index.html")</f>
        <v>http://www.sec.gov/Archives/edgar/data/1542013/0001079974-16-001285-index.html</v>
      </c>
    </row>
    <row r="1452" spans="1:6" x14ac:dyDescent="0.2">
      <c r="A1452" t="s">
        <v>1335</v>
      </c>
      <c r="B1452" s="1">
        <v>834071</v>
      </c>
      <c r="C1452" s="1">
        <v>6141</v>
      </c>
      <c r="D1452" s="2">
        <v>42523</v>
      </c>
      <c r="E1452" s="1" t="s">
        <v>18</v>
      </c>
      <c r="F1452" t="str">
        <f>HYPERLINK("http://www.sec.gov/Archives/edgar/data/834071/0001564590-16-020234-index.html")</f>
        <v>http://www.sec.gov/Archives/edgar/data/834071/0001564590-16-020234-index.html</v>
      </c>
    </row>
    <row r="1453" spans="1:6" x14ac:dyDescent="0.2">
      <c r="A1453" t="s">
        <v>1336</v>
      </c>
      <c r="B1453" s="1">
        <v>1005229</v>
      </c>
      <c r="C1453" s="1">
        <v>3531</v>
      </c>
      <c r="D1453" s="2">
        <v>42522</v>
      </c>
      <c r="E1453" s="1" t="s">
        <v>18</v>
      </c>
      <c r="F1453" t="str">
        <f>HYPERLINK("http://www.sec.gov/Archives/edgar/data/1005229/0001005229-16-000350-index.html")</f>
        <v>http://www.sec.gov/Archives/edgar/data/1005229/0001005229-16-000350-index.html</v>
      </c>
    </row>
    <row r="1454" spans="1:6" x14ac:dyDescent="0.2">
      <c r="A1454" t="s">
        <v>1337</v>
      </c>
      <c r="B1454" s="1">
        <v>108385</v>
      </c>
      <c r="C1454" s="1">
        <v>6141</v>
      </c>
      <c r="D1454" s="2">
        <v>42522</v>
      </c>
      <c r="E1454" s="1" t="s">
        <v>18</v>
      </c>
      <c r="F1454" t="str">
        <f>HYPERLINK("http://www.sec.gov/Archives/edgar/data/108385/0000108385-16-000127-index.html")</f>
        <v>http://www.sec.gov/Archives/edgar/data/108385/0000108385-16-000127-index.html</v>
      </c>
    </row>
    <row r="1455" spans="1:6" x14ac:dyDescent="0.2">
      <c r="A1455" t="s">
        <v>1338</v>
      </c>
      <c r="B1455" s="1">
        <v>1490949</v>
      </c>
      <c r="C1455" s="1">
        <v>5180</v>
      </c>
      <c r="D1455" s="2">
        <v>42522</v>
      </c>
      <c r="E1455" s="1" t="s">
        <v>18</v>
      </c>
      <c r="F1455" t="str">
        <f>HYPERLINK("http://www.sec.gov/Archives/edgar/data/1490949/0001493152-16-010486-index.html")</f>
        <v>http://www.sec.gov/Archives/edgar/data/1490949/0001493152-16-010486-index.html</v>
      </c>
    </row>
    <row r="1456" spans="1:6" x14ac:dyDescent="0.2">
      <c r="A1456" t="s">
        <v>1339</v>
      </c>
      <c r="B1456" s="1">
        <v>1530721</v>
      </c>
      <c r="C1456" s="1">
        <v>3100</v>
      </c>
      <c r="D1456" s="2">
        <v>42522</v>
      </c>
      <c r="E1456" s="1" t="s">
        <v>18</v>
      </c>
      <c r="F1456" t="str">
        <f>HYPERLINK("http://www.sec.gov/Archives/edgar/data/1530721/0001530721-16-000090-index.html")</f>
        <v>http://www.sec.gov/Archives/edgar/data/1530721/0001530721-16-000090-index.html</v>
      </c>
    </row>
    <row r="1457" spans="1:6" x14ac:dyDescent="0.2">
      <c r="A1457" t="s">
        <v>1340</v>
      </c>
      <c r="B1457" s="1">
        <v>1608429</v>
      </c>
      <c r="C1457" s="1">
        <v>7200</v>
      </c>
      <c r="D1457" s="2">
        <v>42522</v>
      </c>
      <c r="E1457" s="1" t="s">
        <v>18</v>
      </c>
      <c r="F1457" t="str">
        <f>HYPERLINK("http://www.sec.gov/Archives/edgar/data/1608429/0001477932-16-010656-index.html")</f>
        <v>http://www.sec.gov/Archives/edgar/data/1608429/0001477932-16-010656-index.html</v>
      </c>
    </row>
    <row r="1458" spans="1:6" x14ac:dyDescent="0.2">
      <c r="A1458" t="s">
        <v>1341</v>
      </c>
      <c r="B1458" s="1">
        <v>1650101</v>
      </c>
      <c r="C1458" s="1">
        <v>7330</v>
      </c>
      <c r="D1458" s="2">
        <v>42522</v>
      </c>
      <c r="E1458" s="1" t="s">
        <v>18</v>
      </c>
      <c r="F1458" t="str">
        <f>HYPERLINK("http://www.sec.gov/Archives/edgar/data/1650101/0001650101-16-000007-index.html")</f>
        <v>http://www.sec.gov/Archives/edgar/data/1650101/0001650101-16-000007-index.html</v>
      </c>
    </row>
    <row r="1459" spans="1:6" x14ac:dyDescent="0.2">
      <c r="A1459" t="s">
        <v>1342</v>
      </c>
      <c r="B1459" s="1">
        <v>313143</v>
      </c>
      <c r="C1459" s="1">
        <v>3841</v>
      </c>
      <c r="D1459" s="2">
        <v>42522</v>
      </c>
      <c r="E1459" s="1" t="s">
        <v>18</v>
      </c>
      <c r="F1459" t="str">
        <f>HYPERLINK("http://www.sec.gov/Archives/edgar/data/313143/0000313143-16-000128-index.html")</f>
        <v>http://www.sec.gov/Archives/edgar/data/313143/0000313143-16-000128-index.html</v>
      </c>
    </row>
    <row r="1460" spans="1:6" x14ac:dyDescent="0.2">
      <c r="A1460" t="s">
        <v>118</v>
      </c>
      <c r="B1460" s="1">
        <v>320431</v>
      </c>
      <c r="C1460" s="1">
        <v>5141</v>
      </c>
      <c r="D1460" s="2">
        <v>42522</v>
      </c>
      <c r="E1460" s="1" t="s">
        <v>18</v>
      </c>
      <c r="F1460" t="str">
        <f>HYPERLINK("http://www.sec.gov/Archives/edgar/data/320431/0001193125-16-610093-index.html")</f>
        <v>http://www.sec.gov/Archives/edgar/data/320431/0001193125-16-610093-index.html</v>
      </c>
    </row>
    <row r="1461" spans="1:6" x14ac:dyDescent="0.2">
      <c r="A1461" t="s">
        <v>1343</v>
      </c>
      <c r="B1461" s="1">
        <v>716314</v>
      </c>
      <c r="C1461" s="1">
        <v>3560</v>
      </c>
      <c r="D1461" s="2">
        <v>42522</v>
      </c>
      <c r="E1461" s="1" t="s">
        <v>18</v>
      </c>
      <c r="F1461" t="str">
        <f>HYPERLINK("http://www.sec.gov/Archives/edgar/data/716314/0001564590-16-020188-index.html")</f>
        <v>http://www.sec.gov/Archives/edgar/data/716314/0001564590-16-020188-index.html</v>
      </c>
    </row>
    <row r="1462" spans="1:6" x14ac:dyDescent="0.2">
      <c r="A1462" t="s">
        <v>1344</v>
      </c>
      <c r="B1462" s="1">
        <v>1023731</v>
      </c>
      <c r="C1462" s="1">
        <v>4813</v>
      </c>
      <c r="D1462" s="2">
        <v>42521</v>
      </c>
      <c r="E1462" s="1" t="s">
        <v>18</v>
      </c>
      <c r="F1462" t="str">
        <f>HYPERLINK("http://www.sec.gov/Archives/edgar/data/1023731/0001136261-16-000496-index.html")</f>
        <v>http://www.sec.gov/Archives/edgar/data/1023731/0001136261-16-000496-index.html</v>
      </c>
    </row>
    <row r="1463" spans="1:6" x14ac:dyDescent="0.2">
      <c r="A1463" t="s">
        <v>1345</v>
      </c>
      <c r="B1463" s="1">
        <v>1045929</v>
      </c>
      <c r="C1463" s="1">
        <v>1040</v>
      </c>
      <c r="D1463" s="2">
        <v>42521</v>
      </c>
      <c r="E1463" s="1" t="s">
        <v>18</v>
      </c>
      <c r="F1463" t="str">
        <f>HYPERLINK("http://www.sec.gov/Archives/edgar/data/1045929/0001354488-16-007690-index.html")</f>
        <v>http://www.sec.gov/Archives/edgar/data/1045929/0001354488-16-007690-index.html</v>
      </c>
    </row>
    <row r="1464" spans="1:6" x14ac:dyDescent="0.2">
      <c r="A1464" t="s">
        <v>1346</v>
      </c>
      <c r="B1464" s="1">
        <v>1078075</v>
      </c>
      <c r="C1464" s="1">
        <v>7373</v>
      </c>
      <c r="D1464" s="2">
        <v>42521</v>
      </c>
      <c r="E1464" s="1" t="s">
        <v>18</v>
      </c>
      <c r="F1464" t="str">
        <f>HYPERLINK("http://www.sec.gov/Archives/edgar/data/1078075/0001628280-16-016851-index.html")</f>
        <v>http://www.sec.gov/Archives/edgar/data/1078075/0001628280-16-016851-index.html</v>
      </c>
    </row>
    <row r="1465" spans="1:6" x14ac:dyDescent="0.2">
      <c r="A1465" t="s">
        <v>1347</v>
      </c>
      <c r="B1465" s="1">
        <v>1289308</v>
      </c>
      <c r="C1465" s="1">
        <v>5063</v>
      </c>
      <c r="D1465" s="2">
        <v>42521</v>
      </c>
      <c r="E1465" s="1" t="s">
        <v>18</v>
      </c>
      <c r="F1465" t="str">
        <f>HYPERLINK("http://www.sec.gov/Archives/edgar/data/1289308/0001289308-16-000060-index.html")</f>
        <v>http://www.sec.gov/Archives/edgar/data/1289308/0001289308-16-000060-index.html</v>
      </c>
    </row>
    <row r="1466" spans="1:6" x14ac:dyDescent="0.2">
      <c r="A1466" t="s">
        <v>1348</v>
      </c>
      <c r="B1466" s="1">
        <v>1404943</v>
      </c>
      <c r="C1466" s="1">
        <v>3674</v>
      </c>
      <c r="D1466" s="2">
        <v>42521</v>
      </c>
      <c r="E1466" s="1" t="s">
        <v>18</v>
      </c>
      <c r="F1466" t="str">
        <f>HYPERLINK("http://www.sec.gov/Archives/edgar/data/1404943/0001415889-16-006045-index.html")</f>
        <v>http://www.sec.gov/Archives/edgar/data/1404943/0001415889-16-006045-index.html</v>
      </c>
    </row>
    <row r="1467" spans="1:6" x14ac:dyDescent="0.2">
      <c r="A1467" t="s">
        <v>1349</v>
      </c>
      <c r="B1467" s="1">
        <v>1405621</v>
      </c>
      <c r="C1467" s="1">
        <v>6799</v>
      </c>
      <c r="D1467" s="2">
        <v>42521</v>
      </c>
      <c r="E1467" s="1" t="s">
        <v>18</v>
      </c>
      <c r="F1467" t="str">
        <f>HYPERLINK("http://www.sec.gov/Archives/edgar/data/1405621/0001405621-16-000024-index.html")</f>
        <v>http://www.sec.gov/Archives/edgar/data/1405621/0001405621-16-000024-index.html</v>
      </c>
    </row>
    <row r="1468" spans="1:6" x14ac:dyDescent="0.2">
      <c r="A1468" t="s">
        <v>1350</v>
      </c>
      <c r="B1468" s="1">
        <v>1489096</v>
      </c>
      <c r="C1468" s="1">
        <v>3620</v>
      </c>
      <c r="D1468" s="2">
        <v>42521</v>
      </c>
      <c r="E1468" s="1" t="s">
        <v>18</v>
      </c>
      <c r="F1468" t="str">
        <f>HYPERLINK("http://www.sec.gov/Archives/edgar/data/1489096/0001489096-16-000154-index.html")</f>
        <v>http://www.sec.gov/Archives/edgar/data/1489096/0001489096-16-000154-index.html</v>
      </c>
    </row>
    <row r="1469" spans="1:6" x14ac:dyDescent="0.2">
      <c r="A1469" t="s">
        <v>1351</v>
      </c>
      <c r="B1469" s="1">
        <v>1489136</v>
      </c>
      <c r="C1469" s="1">
        <v>1389</v>
      </c>
      <c r="D1469" s="2">
        <v>42521</v>
      </c>
      <c r="E1469" s="1" t="s">
        <v>42</v>
      </c>
      <c r="F1469" t="str">
        <f>HYPERLINK("http://www.sec.gov/Archives/edgar/data/1489136/0001489136-16-000042-index.html")</f>
        <v>http://www.sec.gov/Archives/edgar/data/1489136/0001489136-16-000042-index.html</v>
      </c>
    </row>
    <row r="1470" spans="1:6" x14ac:dyDescent="0.2">
      <c r="A1470" t="s">
        <v>1352</v>
      </c>
      <c r="B1470" s="1">
        <v>1504461</v>
      </c>
      <c r="C1470" s="1">
        <v>5172</v>
      </c>
      <c r="D1470" s="2">
        <v>42521</v>
      </c>
      <c r="E1470" s="1" t="s">
        <v>18</v>
      </c>
      <c r="F1470" t="str">
        <f>HYPERLINK("http://www.sec.gov/Archives/edgar/data/1504461/0001504461-16-000020-index.html")</f>
        <v>http://www.sec.gov/Archives/edgar/data/1504461/0001504461-16-000020-index.html</v>
      </c>
    </row>
    <row r="1471" spans="1:6" x14ac:dyDescent="0.2">
      <c r="A1471" t="s">
        <v>1353</v>
      </c>
      <c r="B1471" s="1">
        <v>1534675</v>
      </c>
      <c r="C1471" s="1">
        <v>3211</v>
      </c>
      <c r="D1471" s="2">
        <v>42521</v>
      </c>
      <c r="E1471" s="1" t="s">
        <v>18</v>
      </c>
      <c r="F1471" t="str">
        <f>HYPERLINK("http://www.sec.gov/Archives/edgar/data/1534675/0001144204-16-105670-index.html")</f>
        <v>http://www.sec.gov/Archives/edgar/data/1534675/0001144204-16-105670-index.html</v>
      </c>
    </row>
    <row r="1472" spans="1:6" x14ac:dyDescent="0.2">
      <c r="A1472" t="s">
        <v>1354</v>
      </c>
      <c r="B1472" s="1">
        <v>1549872</v>
      </c>
      <c r="C1472" s="1">
        <v>7389</v>
      </c>
      <c r="D1472" s="2">
        <v>42521</v>
      </c>
      <c r="E1472" s="1" t="s">
        <v>42</v>
      </c>
      <c r="F1472" t="str">
        <f>HYPERLINK("http://www.sec.gov/Archives/edgar/data/1549872/0001549872-16-000103-index.html")</f>
        <v>http://www.sec.gov/Archives/edgar/data/1549872/0001549872-16-000103-index.html</v>
      </c>
    </row>
    <row r="1473" spans="1:6" x14ac:dyDescent="0.2">
      <c r="A1473" t="s">
        <v>1355</v>
      </c>
      <c r="B1473" s="1">
        <v>1596946</v>
      </c>
      <c r="C1473" s="1">
        <v>2835</v>
      </c>
      <c r="D1473" s="2">
        <v>42521</v>
      </c>
      <c r="E1473" s="1" t="s">
        <v>18</v>
      </c>
      <c r="F1473" t="str">
        <f>HYPERLINK("http://www.sec.gov/Archives/edgar/data/1596946/0001564590-16-020106-index.html")</f>
        <v>http://www.sec.gov/Archives/edgar/data/1596946/0001564590-16-020106-index.html</v>
      </c>
    </row>
    <row r="1474" spans="1:6" x14ac:dyDescent="0.2">
      <c r="A1474" t="s">
        <v>1356</v>
      </c>
      <c r="B1474" s="1">
        <v>1596993</v>
      </c>
      <c r="C1474" s="1">
        <v>4412</v>
      </c>
      <c r="D1474" s="2">
        <v>42521</v>
      </c>
      <c r="E1474" s="1" t="s">
        <v>18</v>
      </c>
      <c r="F1474" t="str">
        <f>HYPERLINK("http://www.sec.gov/Archives/edgar/data/1596993/0001596993-16-000015-index.html")</f>
        <v>http://www.sec.gov/Archives/edgar/data/1596993/0001596993-16-000015-index.html</v>
      </c>
    </row>
    <row r="1475" spans="1:6" x14ac:dyDescent="0.2">
      <c r="A1475" t="s">
        <v>1357</v>
      </c>
      <c r="B1475" s="1">
        <v>1604778</v>
      </c>
      <c r="C1475" s="1">
        <v>3674</v>
      </c>
      <c r="D1475" s="2">
        <v>42521</v>
      </c>
      <c r="E1475" s="1" t="s">
        <v>18</v>
      </c>
      <c r="F1475" t="str">
        <f>HYPERLINK("http://www.sec.gov/Archives/edgar/data/1604778/0001604778-16-000175-index.html")</f>
        <v>http://www.sec.gov/Archives/edgar/data/1604778/0001604778-16-000175-index.html</v>
      </c>
    </row>
    <row r="1476" spans="1:6" x14ac:dyDescent="0.2">
      <c r="A1476" t="s">
        <v>1358</v>
      </c>
      <c r="B1476" s="1">
        <v>1609988</v>
      </c>
      <c r="C1476" s="1">
        <v>7389</v>
      </c>
      <c r="D1476" s="2">
        <v>42521</v>
      </c>
      <c r="E1476" s="1" t="s">
        <v>18</v>
      </c>
      <c r="F1476" t="str">
        <f>HYPERLINK("http://www.sec.gov/Archives/edgar/data/1609988/0001393905-16-000936-index.html")</f>
        <v>http://www.sec.gov/Archives/edgar/data/1609988/0001393905-16-000936-index.html</v>
      </c>
    </row>
    <row r="1477" spans="1:6" x14ac:dyDescent="0.2">
      <c r="A1477" t="s">
        <v>1359</v>
      </c>
      <c r="B1477" s="1">
        <v>1624899</v>
      </c>
      <c r="C1477" s="1">
        <v>3842</v>
      </c>
      <c r="D1477" s="2">
        <v>42521</v>
      </c>
      <c r="E1477" s="1" t="s">
        <v>18</v>
      </c>
      <c r="F1477" t="str">
        <f>HYPERLINK("http://www.sec.gov/Archives/edgar/data/1624899/0001624899-16-000005-index.html")</f>
        <v>http://www.sec.gov/Archives/edgar/data/1624899/0001624899-16-000005-index.html</v>
      </c>
    </row>
    <row r="1478" spans="1:6" x14ac:dyDescent="0.2">
      <c r="A1478" t="s">
        <v>1360</v>
      </c>
      <c r="B1478" s="1">
        <v>1639234</v>
      </c>
      <c r="C1478" s="1">
        <v>5651</v>
      </c>
      <c r="D1478" s="2">
        <v>42521</v>
      </c>
      <c r="E1478" s="1" t="s">
        <v>18</v>
      </c>
      <c r="F1478" t="str">
        <f>HYPERLINK("http://www.sec.gov/Archives/edgar/data/1639234/0001477932-16-010643-index.html")</f>
        <v>http://www.sec.gov/Archives/edgar/data/1639234/0001477932-16-010643-index.html</v>
      </c>
    </row>
    <row r="1479" spans="1:6" x14ac:dyDescent="0.2">
      <c r="A1479" t="s">
        <v>1361</v>
      </c>
      <c r="B1479" s="1">
        <v>720672</v>
      </c>
      <c r="C1479" s="1">
        <v>6211</v>
      </c>
      <c r="D1479" s="2">
        <v>42521</v>
      </c>
      <c r="E1479" s="1" t="s">
        <v>42</v>
      </c>
      <c r="F1479" t="str">
        <f>HYPERLINK("http://www.sec.gov/Archives/edgar/data/720672/0001564590-16-020183-index.html")</f>
        <v>http://www.sec.gov/Archives/edgar/data/720672/0001564590-16-020183-index.html</v>
      </c>
    </row>
    <row r="1480" spans="1:6" x14ac:dyDescent="0.2">
      <c r="A1480" t="s">
        <v>1362</v>
      </c>
      <c r="B1480" s="1">
        <v>813298</v>
      </c>
      <c r="C1480" s="1">
        <v>5651</v>
      </c>
      <c r="D1480" s="2">
        <v>42521</v>
      </c>
      <c r="E1480" s="1" t="s">
        <v>42</v>
      </c>
      <c r="F1480" t="str">
        <f>HYPERLINK("http://www.sec.gov/Archives/edgar/data/813298/0001564590-16-020130-index.html")</f>
        <v>http://www.sec.gov/Archives/edgar/data/813298/0001564590-16-020130-index.html</v>
      </c>
    </row>
    <row r="1481" spans="1:6" x14ac:dyDescent="0.2">
      <c r="A1481" t="s">
        <v>1363</v>
      </c>
      <c r="B1481" s="1">
        <v>819220</v>
      </c>
      <c r="C1481" s="1">
        <v>2750</v>
      </c>
      <c r="D1481" s="2">
        <v>42521</v>
      </c>
      <c r="E1481" s="1" t="s">
        <v>18</v>
      </c>
      <c r="F1481" t="str">
        <f>HYPERLINK("http://www.sec.gov/Archives/edgar/data/819220/0001193125-16-608466-index.html")</f>
        <v>http://www.sec.gov/Archives/edgar/data/819220/0001193125-16-608466-index.html</v>
      </c>
    </row>
    <row r="1482" spans="1:6" x14ac:dyDescent="0.2">
      <c r="A1482" t="s">
        <v>1364</v>
      </c>
      <c r="B1482" s="1">
        <v>866970</v>
      </c>
      <c r="C1482" s="1">
        <v>3640</v>
      </c>
      <c r="D1482" s="2">
        <v>42521</v>
      </c>
      <c r="E1482" s="1" t="s">
        <v>42</v>
      </c>
      <c r="F1482" t="str">
        <f>HYPERLINK("http://www.sec.gov/Archives/edgar/data/866970/0001437749-16-033073-index.html")</f>
        <v>http://www.sec.gov/Archives/edgar/data/866970/0001437749-16-033073-index.html</v>
      </c>
    </row>
    <row r="1483" spans="1:6" x14ac:dyDescent="0.2">
      <c r="A1483" t="s">
        <v>1365</v>
      </c>
      <c r="B1483" s="1">
        <v>880807</v>
      </c>
      <c r="C1483" s="1">
        <v>3621</v>
      </c>
      <c r="D1483" s="2">
        <v>42521</v>
      </c>
      <c r="E1483" s="1" t="s">
        <v>18</v>
      </c>
      <c r="F1483" t="str">
        <f>HYPERLINK("http://www.sec.gov/Archives/edgar/data/880807/0001564590-16-020115-index.html")</f>
        <v>http://www.sec.gov/Archives/edgar/data/880807/0001564590-16-020115-index.html</v>
      </c>
    </row>
    <row r="1484" spans="1:6" x14ac:dyDescent="0.2">
      <c r="A1484" t="s">
        <v>1366</v>
      </c>
      <c r="B1484" s="1">
        <v>881890</v>
      </c>
      <c r="C1484" s="1">
        <v>3829</v>
      </c>
      <c r="D1484" s="2">
        <v>42521</v>
      </c>
      <c r="E1484" s="1" t="s">
        <v>18</v>
      </c>
      <c r="F1484" t="str">
        <f>HYPERLINK("http://www.sec.gov/Archives/edgar/data/881890/0001140361-16-067878-index.html")</f>
        <v>http://www.sec.gov/Archives/edgar/data/881890/0001140361-16-067878-index.html</v>
      </c>
    </row>
    <row r="1485" spans="1:6" x14ac:dyDescent="0.2">
      <c r="A1485" t="s">
        <v>1327</v>
      </c>
      <c r="B1485" s="1">
        <v>897078</v>
      </c>
      <c r="C1485" s="1">
        <v>7372</v>
      </c>
      <c r="D1485" s="2">
        <v>42521</v>
      </c>
      <c r="E1485" s="1" t="s">
        <v>18</v>
      </c>
      <c r="F1485" t="str">
        <f>HYPERLINK("http://www.sec.gov/Archives/edgar/data/897078/0001493152-16-010417-index.html")</f>
        <v>http://www.sec.gov/Archives/edgar/data/897078/0001493152-16-010417-index.html</v>
      </c>
    </row>
    <row r="1486" spans="1:6" x14ac:dyDescent="0.2">
      <c r="A1486" t="s">
        <v>1367</v>
      </c>
      <c r="B1486" s="1">
        <v>910521</v>
      </c>
      <c r="C1486" s="1">
        <v>3021</v>
      </c>
      <c r="D1486" s="2">
        <v>42521</v>
      </c>
      <c r="E1486" s="1" t="s">
        <v>18</v>
      </c>
      <c r="F1486" t="str">
        <f>HYPERLINK("http://www.sec.gov/Archives/edgar/data/910521/0000910521-16-000058-index.html")</f>
        <v>http://www.sec.gov/Archives/edgar/data/910521/0000910521-16-000058-index.html</v>
      </c>
    </row>
    <row r="1487" spans="1:6" x14ac:dyDescent="0.2">
      <c r="A1487" t="s">
        <v>1368</v>
      </c>
      <c r="B1487" s="1">
        <v>102037</v>
      </c>
      <c r="C1487" s="1">
        <v>5150</v>
      </c>
      <c r="D1487" s="2">
        <v>42517</v>
      </c>
      <c r="E1487" s="1" t="s">
        <v>18</v>
      </c>
      <c r="F1487" t="str">
        <f>HYPERLINK("http://www.sec.gov/Archives/edgar/data/102037/0000102037-16-000046-index.html")</f>
        <v>http://www.sec.gov/Archives/edgar/data/102037/0000102037-16-000046-index.html</v>
      </c>
    </row>
    <row r="1488" spans="1:6" x14ac:dyDescent="0.2">
      <c r="A1488" t="s">
        <v>1369</v>
      </c>
      <c r="B1488" s="1">
        <v>1021162</v>
      </c>
      <c r="C1488" s="1">
        <v>3720</v>
      </c>
      <c r="D1488" s="2">
        <v>42517</v>
      </c>
      <c r="E1488" s="1" t="s">
        <v>18</v>
      </c>
      <c r="F1488" t="str">
        <f>HYPERLINK("http://www.sec.gov/Archives/edgar/data/1021162/0001021162-16-000059-index.html")</f>
        <v>http://www.sec.gov/Archives/edgar/data/1021162/0001021162-16-000059-index.html</v>
      </c>
    </row>
    <row r="1489" spans="1:6" x14ac:dyDescent="0.2">
      <c r="A1489" t="s">
        <v>1370</v>
      </c>
      <c r="B1489" s="1">
        <v>1164256</v>
      </c>
      <c r="C1489" s="1">
        <v>1311</v>
      </c>
      <c r="D1489" s="2">
        <v>42517</v>
      </c>
      <c r="E1489" s="1" t="s">
        <v>18</v>
      </c>
      <c r="F1489" t="str">
        <f>HYPERLINK("http://www.sec.gov/Archives/edgar/data/1164256/0001515971-16-000523-index.html")</f>
        <v>http://www.sec.gov/Archives/edgar/data/1164256/0001515971-16-000523-index.html</v>
      </c>
    </row>
    <row r="1490" spans="1:6" x14ac:dyDescent="0.2">
      <c r="A1490" t="s">
        <v>1371</v>
      </c>
      <c r="B1490" s="1">
        <v>1207074</v>
      </c>
      <c r="C1490" s="1">
        <v>7371</v>
      </c>
      <c r="D1490" s="2">
        <v>42517</v>
      </c>
      <c r="E1490" s="1" t="s">
        <v>18</v>
      </c>
      <c r="F1490" t="str">
        <f>HYPERLINK("http://www.sec.gov/Archives/edgar/data/1207074/0001047469-16-013504-index.html")</f>
        <v>http://www.sec.gov/Archives/edgar/data/1207074/0001047469-16-013504-index.html</v>
      </c>
    </row>
    <row r="1491" spans="1:6" x14ac:dyDescent="0.2">
      <c r="A1491" t="s">
        <v>1372</v>
      </c>
      <c r="B1491" s="1">
        <v>1347078</v>
      </c>
      <c r="C1491" s="1">
        <v>2330</v>
      </c>
      <c r="D1491" s="2">
        <v>42517</v>
      </c>
      <c r="E1491" s="1" t="s">
        <v>18</v>
      </c>
      <c r="F1491" t="str">
        <f>HYPERLINK("http://www.sec.gov/Archives/edgar/data/1347078/0001493152-16-010389-index.html")</f>
        <v>http://www.sec.gov/Archives/edgar/data/1347078/0001493152-16-010389-index.html</v>
      </c>
    </row>
    <row r="1492" spans="1:6" x14ac:dyDescent="0.2">
      <c r="A1492" t="s">
        <v>1353</v>
      </c>
      <c r="B1492" s="1">
        <v>1534675</v>
      </c>
      <c r="C1492" s="1">
        <v>3211</v>
      </c>
      <c r="D1492" s="2">
        <v>42517</v>
      </c>
      <c r="E1492" s="1" t="s">
        <v>42</v>
      </c>
      <c r="F1492" t="str">
        <f>HYPERLINK("http://www.sec.gov/Archives/edgar/data/1534675/0001144204-16-105597-index.html")</f>
        <v>http://www.sec.gov/Archives/edgar/data/1534675/0001144204-16-105597-index.html</v>
      </c>
    </row>
    <row r="1493" spans="1:6" x14ac:dyDescent="0.2">
      <c r="A1493" t="s">
        <v>1373</v>
      </c>
      <c r="B1493" s="1">
        <v>1547530</v>
      </c>
      <c r="C1493" s="1">
        <v>6500</v>
      </c>
      <c r="D1493" s="2">
        <v>42517</v>
      </c>
      <c r="E1493" s="1" t="s">
        <v>18</v>
      </c>
      <c r="F1493" t="str">
        <f>HYPERLINK("http://www.sec.gov/Archives/edgar/data/1547530/0001662252-16-000168-index.html")</f>
        <v>http://www.sec.gov/Archives/edgar/data/1547530/0001662252-16-000168-index.html</v>
      </c>
    </row>
    <row r="1494" spans="1:6" x14ac:dyDescent="0.2">
      <c r="A1494" t="s">
        <v>1374</v>
      </c>
      <c r="B1494" s="1">
        <v>1616318</v>
      </c>
      <c r="C1494" s="1">
        <v>3480</v>
      </c>
      <c r="D1494" s="2">
        <v>42517</v>
      </c>
      <c r="E1494" s="1" t="s">
        <v>18</v>
      </c>
      <c r="F1494" t="str">
        <f>HYPERLINK("http://www.sec.gov/Archives/edgar/data/1616318/0001616318-16-000100-index.html")</f>
        <v>http://www.sec.gov/Archives/edgar/data/1616318/0001616318-16-000100-index.html</v>
      </c>
    </row>
    <row r="1495" spans="1:6" x14ac:dyDescent="0.2">
      <c r="A1495" t="s">
        <v>1375</v>
      </c>
      <c r="B1495" s="1">
        <v>1646383</v>
      </c>
      <c r="C1495" s="1">
        <v>7373</v>
      </c>
      <c r="D1495" s="2">
        <v>42517</v>
      </c>
      <c r="E1495" s="1" t="s">
        <v>18</v>
      </c>
      <c r="F1495" t="str">
        <f>HYPERLINK("http://www.sec.gov/Archives/edgar/data/1646383/0001646383-16-000336-index.html")</f>
        <v>http://www.sec.gov/Archives/edgar/data/1646383/0001646383-16-000336-index.html</v>
      </c>
    </row>
    <row r="1496" spans="1:6" x14ac:dyDescent="0.2">
      <c r="A1496" t="s">
        <v>1376</v>
      </c>
      <c r="B1496" s="1">
        <v>712515</v>
      </c>
      <c r="C1496" s="1">
        <v>7372</v>
      </c>
      <c r="D1496" s="2">
        <v>42517</v>
      </c>
      <c r="E1496" s="1" t="s">
        <v>18</v>
      </c>
      <c r="F1496" t="str">
        <f>HYPERLINK("http://www.sec.gov/Archives/edgar/data/712515/0000712515-16-000111-index.html")</f>
        <v>http://www.sec.gov/Archives/edgar/data/712515/0000712515-16-000111-index.html</v>
      </c>
    </row>
    <row r="1497" spans="1:6" x14ac:dyDescent="0.2">
      <c r="A1497" t="s">
        <v>1377</v>
      </c>
      <c r="B1497" s="1">
        <v>719866</v>
      </c>
      <c r="C1497" s="1">
        <v>3790</v>
      </c>
      <c r="D1497" s="2">
        <v>42517</v>
      </c>
      <c r="E1497" s="1" t="s">
        <v>18</v>
      </c>
      <c r="F1497" t="str">
        <f>HYPERLINK("http://www.sec.gov/Archives/edgar/data/719866/0001193125-16-606469-index.html")</f>
        <v>http://www.sec.gov/Archives/edgar/data/719866/0001193125-16-606469-index.html</v>
      </c>
    </row>
    <row r="1498" spans="1:6" x14ac:dyDescent="0.2">
      <c r="A1498" t="s">
        <v>1378</v>
      </c>
      <c r="B1498" s="1">
        <v>733269</v>
      </c>
      <c r="C1498" s="1">
        <v>7374</v>
      </c>
      <c r="D1498" s="2">
        <v>42517</v>
      </c>
      <c r="E1498" s="1" t="s">
        <v>18</v>
      </c>
      <c r="F1498" t="str">
        <f>HYPERLINK("http://www.sec.gov/Archives/edgar/data/733269/0000733269-16-000060-index.html")</f>
        <v>http://www.sec.gov/Archives/edgar/data/733269/0000733269-16-000060-index.html</v>
      </c>
    </row>
    <row r="1499" spans="1:6" x14ac:dyDescent="0.2">
      <c r="A1499" t="s">
        <v>1379</v>
      </c>
      <c r="B1499" s="1">
        <v>73887</v>
      </c>
      <c r="C1499" s="1">
        <v>4522</v>
      </c>
      <c r="D1499" s="2">
        <v>42517</v>
      </c>
      <c r="E1499" s="1" t="s">
        <v>18</v>
      </c>
      <c r="F1499" t="str">
        <f>HYPERLINK("http://www.sec.gov/Archives/edgar/data/73887/0000073887-16-000040-index.html")</f>
        <v>http://www.sec.gov/Archives/edgar/data/73887/0000073887-16-000040-index.html</v>
      </c>
    </row>
    <row r="1500" spans="1:6" x14ac:dyDescent="0.2">
      <c r="A1500" t="s">
        <v>1380</v>
      </c>
      <c r="B1500" s="1">
        <v>753568</v>
      </c>
      <c r="C1500" s="1">
        <v>3674</v>
      </c>
      <c r="D1500" s="2">
        <v>42517</v>
      </c>
      <c r="E1500" s="1" t="s">
        <v>18</v>
      </c>
      <c r="F1500" t="str">
        <f>HYPERLINK("http://www.sec.gov/Archives/edgar/data/753568/0001437749-16-032955-index.html")</f>
        <v>http://www.sec.gov/Archives/edgar/data/753568/0001437749-16-032955-index.html</v>
      </c>
    </row>
    <row r="1501" spans="1:6" x14ac:dyDescent="0.2">
      <c r="A1501" t="s">
        <v>1381</v>
      </c>
      <c r="B1501" s="1">
        <v>897429</v>
      </c>
      <c r="C1501" s="1">
        <v>5621</v>
      </c>
      <c r="D1501" s="2">
        <v>42517</v>
      </c>
      <c r="E1501" s="1" t="s">
        <v>42</v>
      </c>
      <c r="F1501" t="str">
        <f>HYPERLINK("http://www.sec.gov/Archives/edgar/data/897429/0000897429-16-000355-index.html")</f>
        <v>http://www.sec.gov/Archives/edgar/data/897429/0000897429-16-000355-index.html</v>
      </c>
    </row>
    <row r="1502" spans="1:6" x14ac:dyDescent="0.2">
      <c r="A1502" t="s">
        <v>1382</v>
      </c>
      <c r="B1502" s="1">
        <v>1022408</v>
      </c>
      <c r="C1502" s="1">
        <v>5045</v>
      </c>
      <c r="D1502" s="2">
        <v>42516</v>
      </c>
      <c r="E1502" s="1" t="s">
        <v>18</v>
      </c>
      <c r="F1502" t="str">
        <f>HYPERLINK("http://www.sec.gov/Archives/edgar/data/1022408/0001022408-16-000072-index.html")</f>
        <v>http://www.sec.gov/Archives/edgar/data/1022408/0001022408-16-000072-index.html</v>
      </c>
    </row>
    <row r="1503" spans="1:6" x14ac:dyDescent="0.2">
      <c r="A1503" t="s">
        <v>1383</v>
      </c>
      <c r="B1503" s="1">
        <v>1324948</v>
      </c>
      <c r="C1503" s="1">
        <v>3562</v>
      </c>
      <c r="D1503" s="2">
        <v>42516</v>
      </c>
      <c r="E1503" s="1" t="s">
        <v>18</v>
      </c>
      <c r="F1503" t="str">
        <f>HYPERLINK("http://www.sec.gov/Archives/edgar/data/1324948/0001144204-16-105151-index.html")</f>
        <v>http://www.sec.gov/Archives/edgar/data/1324948/0001144204-16-105151-index.html</v>
      </c>
    </row>
    <row r="1504" spans="1:6" x14ac:dyDescent="0.2">
      <c r="A1504" t="s">
        <v>1384</v>
      </c>
      <c r="B1504" s="1">
        <v>1448056</v>
      </c>
      <c r="C1504" s="1">
        <v>7372</v>
      </c>
      <c r="D1504" s="2">
        <v>42516</v>
      </c>
      <c r="E1504" s="1" t="s">
        <v>18</v>
      </c>
      <c r="F1504" t="str">
        <f>HYPERLINK("http://www.sec.gov/Archives/edgar/data/1448056/0001193125-16-604334-index.html")</f>
        <v>http://www.sec.gov/Archives/edgar/data/1448056/0001193125-16-604334-index.html</v>
      </c>
    </row>
    <row r="1505" spans="1:6" x14ac:dyDescent="0.2">
      <c r="A1505" t="s">
        <v>1385</v>
      </c>
      <c r="B1505" s="1">
        <v>1449349</v>
      </c>
      <c r="C1505" s="1">
        <v>3841</v>
      </c>
      <c r="D1505" s="2">
        <v>42516</v>
      </c>
      <c r="E1505" s="1" t="s">
        <v>42</v>
      </c>
      <c r="F1505" t="str">
        <f>HYPERLINK("http://www.sec.gov/Archives/edgar/data/1449349/0001493152-16-010305-index.html")</f>
        <v>http://www.sec.gov/Archives/edgar/data/1449349/0001493152-16-010305-index.html</v>
      </c>
    </row>
    <row r="1506" spans="1:6" x14ac:dyDescent="0.2">
      <c r="A1506" t="s">
        <v>1386</v>
      </c>
      <c r="B1506" s="1">
        <v>1454742</v>
      </c>
      <c r="C1506" s="1">
        <v>7374</v>
      </c>
      <c r="D1506" s="2">
        <v>42516</v>
      </c>
      <c r="E1506" s="1" t="s">
        <v>18</v>
      </c>
      <c r="F1506" t="str">
        <f>HYPERLINK("http://www.sec.gov/Archives/edgar/data/1454742/0001346655-16-000023-index.html")</f>
        <v>http://www.sec.gov/Archives/edgar/data/1454742/0001346655-16-000023-index.html</v>
      </c>
    </row>
    <row r="1507" spans="1:6" x14ac:dyDescent="0.2">
      <c r="A1507" t="s">
        <v>1387</v>
      </c>
      <c r="B1507" s="1">
        <v>1497251</v>
      </c>
      <c r="C1507" s="1">
        <v>7389</v>
      </c>
      <c r="D1507" s="2">
        <v>42516</v>
      </c>
      <c r="E1507" s="1" t="s">
        <v>18</v>
      </c>
      <c r="F1507" t="str">
        <f>HYPERLINK("http://www.sec.gov/Archives/edgar/data/1497251/0001511164-16-000880-index.html")</f>
        <v>http://www.sec.gov/Archives/edgar/data/1497251/0001511164-16-000880-index.html</v>
      </c>
    </row>
    <row r="1508" spans="1:6" x14ac:dyDescent="0.2">
      <c r="A1508" t="s">
        <v>1388</v>
      </c>
      <c r="B1508" s="1">
        <v>1559865</v>
      </c>
      <c r="C1508" s="1">
        <v>7374</v>
      </c>
      <c r="D1508" s="2">
        <v>42516</v>
      </c>
      <c r="E1508" s="1" t="s">
        <v>18</v>
      </c>
      <c r="F1508" t="str">
        <f>HYPERLINK("http://www.sec.gov/Archives/edgar/data/1559865/0001193125-16-604225-index.html")</f>
        <v>http://www.sec.gov/Archives/edgar/data/1559865/0001193125-16-604225-index.html</v>
      </c>
    </row>
    <row r="1509" spans="1:6" x14ac:dyDescent="0.2">
      <c r="A1509" t="s">
        <v>1389</v>
      </c>
      <c r="B1509" s="1">
        <v>5133</v>
      </c>
      <c r="C1509" s="1">
        <v>2771</v>
      </c>
      <c r="D1509" s="2">
        <v>42516</v>
      </c>
      <c r="E1509" s="1" t="s">
        <v>18</v>
      </c>
      <c r="F1509" t="str">
        <f>HYPERLINK("http://www.sec.gov/Archives/edgar/data/5133/0001193125-16-604228-index.html")</f>
        <v>http://www.sec.gov/Archives/edgar/data/5133/0001193125-16-604228-index.html</v>
      </c>
    </row>
    <row r="1510" spans="1:6" x14ac:dyDescent="0.2">
      <c r="A1510" t="s">
        <v>1390</v>
      </c>
      <c r="B1510" s="1">
        <v>67347</v>
      </c>
      <c r="C1510" s="1">
        <v>3714</v>
      </c>
      <c r="D1510" s="2">
        <v>42516</v>
      </c>
      <c r="E1510" s="1" t="s">
        <v>18</v>
      </c>
      <c r="F1510" t="str">
        <f>HYPERLINK("http://www.sec.gov/Archives/edgar/data/67347/0001140361-16-067258-index.html")</f>
        <v>http://www.sec.gov/Archives/edgar/data/67347/0001140361-16-067258-index.html</v>
      </c>
    </row>
    <row r="1511" spans="1:6" x14ac:dyDescent="0.2">
      <c r="A1511" t="s">
        <v>1391</v>
      </c>
      <c r="B1511" s="1">
        <v>758743</v>
      </c>
      <c r="C1511" s="1">
        <v>3670</v>
      </c>
      <c r="D1511" s="2">
        <v>42516</v>
      </c>
      <c r="E1511" s="1" t="s">
        <v>18</v>
      </c>
      <c r="F1511" t="str">
        <f>HYPERLINK("http://www.sec.gov/Archives/edgar/data/758743/0001193125-16-604208-index.html")</f>
        <v>http://www.sec.gov/Archives/edgar/data/758743/0001193125-16-604208-index.html</v>
      </c>
    </row>
    <row r="1512" spans="1:6" x14ac:dyDescent="0.2">
      <c r="A1512" t="s">
        <v>1392</v>
      </c>
      <c r="B1512" s="1">
        <v>797721</v>
      </c>
      <c r="C1512" s="1">
        <v>3663</v>
      </c>
      <c r="D1512" s="2">
        <v>42516</v>
      </c>
      <c r="E1512" s="1" t="s">
        <v>18</v>
      </c>
      <c r="F1512" t="str">
        <f>HYPERLINK("http://www.sec.gov/Archives/edgar/data/797721/0001193125-16-604149-index.html")</f>
        <v>http://www.sec.gov/Archives/edgar/data/797721/0001193125-16-604149-index.html</v>
      </c>
    </row>
    <row r="1513" spans="1:6" x14ac:dyDescent="0.2">
      <c r="A1513" t="s">
        <v>1393</v>
      </c>
      <c r="B1513" s="1">
        <v>815094</v>
      </c>
      <c r="C1513" s="1">
        <v>3841</v>
      </c>
      <c r="D1513" s="2">
        <v>42516</v>
      </c>
      <c r="E1513" s="1" t="s">
        <v>18</v>
      </c>
      <c r="F1513" t="str">
        <f>HYPERLINK("http://www.sec.gov/Archives/edgar/data/815094/0001564590-16-020014-index.html")</f>
        <v>http://www.sec.gov/Archives/edgar/data/815094/0001564590-16-020014-index.html</v>
      </c>
    </row>
    <row r="1514" spans="1:6" x14ac:dyDescent="0.2">
      <c r="A1514" t="s">
        <v>1394</v>
      </c>
      <c r="B1514" s="1">
        <v>892986</v>
      </c>
      <c r="C1514" s="1">
        <v>1311</v>
      </c>
      <c r="D1514" s="2">
        <v>42516</v>
      </c>
      <c r="E1514" s="1" t="s">
        <v>42</v>
      </c>
      <c r="F1514" t="str">
        <f>HYPERLINK("http://www.sec.gov/Archives/edgar/data/892986/0001193125-16-604236-index.html")</f>
        <v>http://www.sec.gov/Archives/edgar/data/892986/0001193125-16-604236-index.html</v>
      </c>
    </row>
    <row r="1515" spans="1:6" x14ac:dyDescent="0.2">
      <c r="A1515" t="s">
        <v>1395</v>
      </c>
      <c r="B1515" s="1">
        <v>902791</v>
      </c>
      <c r="C1515" s="1">
        <v>7363</v>
      </c>
      <c r="D1515" s="2">
        <v>42516</v>
      </c>
      <c r="E1515" s="1" t="s">
        <v>18</v>
      </c>
      <c r="F1515" t="str">
        <f>HYPERLINK("http://www.sec.gov/Archives/edgar/data/902791/0001193125-16-602543-index.html")</f>
        <v>http://www.sec.gov/Archives/edgar/data/902791/0001193125-16-602543-index.html</v>
      </c>
    </row>
    <row r="1516" spans="1:6" x14ac:dyDescent="0.2">
      <c r="A1516" t="s">
        <v>1396</v>
      </c>
      <c r="B1516" s="1">
        <v>918386</v>
      </c>
      <c r="C1516" s="1">
        <v>3576</v>
      </c>
      <c r="D1516" s="2">
        <v>42516</v>
      </c>
      <c r="E1516" s="1" t="s">
        <v>18</v>
      </c>
      <c r="F1516" t="str">
        <f>HYPERLINK("http://www.sec.gov/Archives/edgar/data/918386/0001564590-16-020020-index.html")</f>
        <v>http://www.sec.gov/Archives/edgar/data/918386/0001564590-16-020020-index.html</v>
      </c>
    </row>
    <row r="1517" spans="1:6" x14ac:dyDescent="0.2">
      <c r="A1517" t="s">
        <v>1397</v>
      </c>
      <c r="B1517" s="1">
        <v>98222</v>
      </c>
      <c r="C1517" s="1">
        <v>4400</v>
      </c>
      <c r="D1517" s="2">
        <v>42516</v>
      </c>
      <c r="E1517" s="1" t="s">
        <v>18</v>
      </c>
      <c r="F1517" t="str">
        <f>HYPERLINK("http://www.sec.gov/Archives/edgar/data/98222/0001564590-16-019999-index.html")</f>
        <v>http://www.sec.gov/Archives/edgar/data/98222/0001564590-16-019999-index.html</v>
      </c>
    </row>
    <row r="1518" spans="1:6" x14ac:dyDescent="0.2">
      <c r="A1518" t="s">
        <v>1292</v>
      </c>
      <c r="B1518" s="1">
        <v>1288195</v>
      </c>
      <c r="C1518" s="1">
        <v>4953</v>
      </c>
      <c r="D1518" s="2">
        <v>42515</v>
      </c>
      <c r="E1518" s="1" t="s">
        <v>18</v>
      </c>
      <c r="F1518" t="str">
        <f>HYPERLINK("http://www.sec.gov/Archives/edgar/data/1288195/0001019687-16-006460-index.html")</f>
        <v>http://www.sec.gov/Archives/edgar/data/1288195/0001019687-16-006460-index.html</v>
      </c>
    </row>
    <row r="1519" spans="1:6" x14ac:dyDescent="0.2">
      <c r="A1519" t="s">
        <v>1398</v>
      </c>
      <c r="B1519" s="1">
        <v>1294924</v>
      </c>
      <c r="C1519" s="1">
        <v>3674</v>
      </c>
      <c r="D1519" s="2">
        <v>42515</v>
      </c>
      <c r="E1519" s="1" t="s">
        <v>18</v>
      </c>
      <c r="F1519" t="str">
        <f>HYPERLINK("http://www.sec.gov/Archives/edgar/data/1294924/0001193125-16-602397-index.html")</f>
        <v>http://www.sec.gov/Archives/edgar/data/1294924/0001193125-16-602397-index.html</v>
      </c>
    </row>
    <row r="1520" spans="1:6" x14ac:dyDescent="0.2">
      <c r="A1520" t="s">
        <v>1385</v>
      </c>
      <c r="B1520" s="1">
        <v>1449349</v>
      </c>
      <c r="C1520" s="1">
        <v>3841</v>
      </c>
      <c r="D1520" s="2">
        <v>42515</v>
      </c>
      <c r="E1520" s="1" t="s">
        <v>18</v>
      </c>
      <c r="F1520" t="str">
        <f>HYPERLINK("http://www.sec.gov/Archives/edgar/data/1449349/0001493152-16-010291-index.html")</f>
        <v>http://www.sec.gov/Archives/edgar/data/1449349/0001493152-16-010291-index.html</v>
      </c>
    </row>
    <row r="1521" spans="1:6" x14ac:dyDescent="0.2">
      <c r="A1521" t="s">
        <v>1399</v>
      </c>
      <c r="B1521" s="1">
        <v>20629</v>
      </c>
      <c r="C1521" s="1">
        <v>2771</v>
      </c>
      <c r="D1521" s="2">
        <v>42515</v>
      </c>
      <c r="E1521" s="1" t="s">
        <v>18</v>
      </c>
      <c r="F1521" t="str">
        <f>HYPERLINK("http://www.sec.gov/Archives/edgar/data/20629/0000020629-16-000135-index.html")</f>
        <v>http://www.sec.gov/Archives/edgar/data/20629/0000020629-16-000135-index.html</v>
      </c>
    </row>
    <row r="1522" spans="1:6" x14ac:dyDescent="0.2">
      <c r="A1522" t="s">
        <v>1400</v>
      </c>
      <c r="B1522" s="1">
        <v>40730</v>
      </c>
      <c r="C1522" s="1">
        <v>3711</v>
      </c>
      <c r="D1522" s="2">
        <v>42515</v>
      </c>
      <c r="E1522" s="1" t="s">
        <v>18</v>
      </c>
      <c r="F1522" t="str">
        <f>HYPERLINK("http://www.sec.gov/Archives/edgar/data/40730/0001193125-16-601450-index.html")</f>
        <v>http://www.sec.gov/Archives/edgar/data/40730/0001193125-16-601450-index.html</v>
      </c>
    </row>
    <row r="1523" spans="1:6" x14ac:dyDescent="0.2">
      <c r="A1523" t="s">
        <v>1401</v>
      </c>
      <c r="B1523" s="1">
        <v>4457</v>
      </c>
      <c r="C1523" s="1">
        <v>7510</v>
      </c>
      <c r="D1523" s="2">
        <v>42515</v>
      </c>
      <c r="E1523" s="1" t="s">
        <v>18</v>
      </c>
      <c r="F1523" t="str">
        <f>HYPERLINK("http://www.sec.gov/Archives/edgar/data/4457/0000004457-16-000085-index.html")</f>
        <v>http://www.sec.gov/Archives/edgar/data/4457/0000004457-16-000085-index.html</v>
      </c>
    </row>
    <row r="1524" spans="1:6" x14ac:dyDescent="0.2">
      <c r="A1524" t="s">
        <v>1402</v>
      </c>
      <c r="B1524" s="1">
        <v>708818</v>
      </c>
      <c r="C1524" s="1">
        <v>7373</v>
      </c>
      <c r="D1524" s="2">
        <v>42515</v>
      </c>
      <c r="E1524" s="1" t="s">
        <v>18</v>
      </c>
      <c r="F1524" t="str">
        <f>HYPERLINK("http://www.sec.gov/Archives/edgar/data/708818/0000708818-16-000091-index.html")</f>
        <v>http://www.sec.gov/Archives/edgar/data/708818/0000708818-16-000091-index.html</v>
      </c>
    </row>
    <row r="1525" spans="1:6" x14ac:dyDescent="0.2">
      <c r="A1525" t="s">
        <v>1403</v>
      </c>
      <c r="B1525" s="1">
        <v>772406</v>
      </c>
      <c r="C1525" s="1">
        <v>3674</v>
      </c>
      <c r="D1525" s="2">
        <v>42515</v>
      </c>
      <c r="E1525" s="1" t="s">
        <v>18</v>
      </c>
      <c r="F1525" t="str">
        <f>HYPERLINK("http://www.sec.gov/Archives/edgar/data/772406/0001193125-16-602269-index.html")</f>
        <v>http://www.sec.gov/Archives/edgar/data/772406/0001193125-16-602269-index.html</v>
      </c>
    </row>
    <row r="1526" spans="1:6" x14ac:dyDescent="0.2">
      <c r="A1526" t="s">
        <v>1404</v>
      </c>
      <c r="B1526" s="1">
        <v>806172</v>
      </c>
      <c r="C1526" s="1">
        <v>3690</v>
      </c>
      <c r="D1526" s="2">
        <v>42515</v>
      </c>
      <c r="E1526" s="1" t="s">
        <v>18</v>
      </c>
      <c r="F1526" t="str">
        <f>HYPERLINK("http://www.sec.gov/Archives/edgar/data/806172/0001171520-16-000935-index.html")</f>
        <v>http://www.sec.gov/Archives/edgar/data/806172/0001171520-16-000935-index.html</v>
      </c>
    </row>
    <row r="1527" spans="1:6" x14ac:dyDescent="0.2">
      <c r="A1527" t="s">
        <v>1405</v>
      </c>
      <c r="B1527" s="1">
        <v>876427</v>
      </c>
      <c r="C1527" s="1">
        <v>7500</v>
      </c>
      <c r="D1527" s="2">
        <v>42515</v>
      </c>
      <c r="E1527" s="1" t="s">
        <v>18</v>
      </c>
      <c r="F1527" t="str">
        <f>HYPERLINK("http://www.sec.gov/Archives/edgar/data/876427/0001562762-16-000396-index.html")</f>
        <v>http://www.sec.gov/Archives/edgar/data/876427/0001562762-16-000396-index.html</v>
      </c>
    </row>
    <row r="1528" spans="1:6" x14ac:dyDescent="0.2">
      <c r="A1528" t="s">
        <v>1406</v>
      </c>
      <c r="B1528" s="1">
        <v>887730</v>
      </c>
      <c r="C1528" s="1">
        <v>3670</v>
      </c>
      <c r="D1528" s="2">
        <v>42515</v>
      </c>
      <c r="E1528" s="1" t="s">
        <v>18</v>
      </c>
      <c r="F1528" t="str">
        <f>HYPERLINK("http://www.sec.gov/Archives/edgar/data/887730/0000887730-16-000104-index.html")</f>
        <v>http://www.sec.gov/Archives/edgar/data/887730/0000887730-16-000104-index.html</v>
      </c>
    </row>
    <row r="1529" spans="1:6" x14ac:dyDescent="0.2">
      <c r="A1529" t="s">
        <v>1407</v>
      </c>
      <c r="B1529" s="1">
        <v>918646</v>
      </c>
      <c r="C1529" s="1">
        <v>3241</v>
      </c>
      <c r="D1529" s="2">
        <v>42515</v>
      </c>
      <c r="E1529" s="1" t="s">
        <v>18</v>
      </c>
      <c r="F1529" t="str">
        <f>HYPERLINK("http://www.sec.gov/Archives/edgar/data/918646/0001564590-16-019955-index.html")</f>
        <v>http://www.sec.gov/Archives/edgar/data/918646/0001564590-16-019955-index.html</v>
      </c>
    </row>
    <row r="1530" spans="1:6" x14ac:dyDescent="0.2">
      <c r="A1530" t="s">
        <v>1408</v>
      </c>
      <c r="B1530" s="1">
        <v>929351</v>
      </c>
      <c r="C1530" s="1">
        <v>7812</v>
      </c>
      <c r="D1530" s="2">
        <v>42515</v>
      </c>
      <c r="E1530" s="1" t="s">
        <v>18</v>
      </c>
      <c r="F1530" t="str">
        <f>HYPERLINK("http://www.sec.gov/Archives/edgar/data/929351/0000929351-16-000088-index.html")</f>
        <v>http://www.sec.gov/Archives/edgar/data/929351/0000929351-16-000088-index.html</v>
      </c>
    </row>
    <row r="1531" spans="1:6" x14ac:dyDescent="0.2">
      <c r="A1531" t="s">
        <v>1104</v>
      </c>
      <c r="B1531" s="1">
        <v>939930</v>
      </c>
      <c r="C1531" s="1">
        <v>5150</v>
      </c>
      <c r="D1531" s="2">
        <v>42515</v>
      </c>
      <c r="E1531" s="1" t="s">
        <v>42</v>
      </c>
      <c r="F1531" t="str">
        <f>HYPERLINK("http://www.sec.gov/Archives/edgar/data/939930/0000939930-16-000122-index.html")</f>
        <v>http://www.sec.gov/Archives/edgar/data/939930/0000939930-16-000122-index.html</v>
      </c>
    </row>
    <row r="1532" spans="1:6" x14ac:dyDescent="0.2">
      <c r="A1532" t="s">
        <v>1409</v>
      </c>
      <c r="B1532" s="1">
        <v>1002135</v>
      </c>
      <c r="C1532" s="1">
        <v>3661</v>
      </c>
      <c r="D1532" s="2">
        <v>42514</v>
      </c>
      <c r="E1532" s="1" t="s">
        <v>18</v>
      </c>
      <c r="F1532" t="str">
        <f>HYPERLINK("http://www.sec.gov/Archives/edgar/data/1002135/0001002135-16-000069-index.html")</f>
        <v>http://www.sec.gov/Archives/edgar/data/1002135/0001002135-16-000069-index.html</v>
      </c>
    </row>
    <row r="1533" spans="1:6" x14ac:dyDescent="0.2">
      <c r="A1533" t="s">
        <v>1410</v>
      </c>
      <c r="B1533" s="1">
        <v>1040130</v>
      </c>
      <c r="C1533" s="1">
        <v>5912</v>
      </c>
      <c r="D1533" s="2">
        <v>42514</v>
      </c>
      <c r="E1533" s="1" t="s">
        <v>18</v>
      </c>
      <c r="F1533" t="str">
        <f>HYPERLINK("http://www.sec.gov/Archives/edgar/data/1040130/0001571049-16-015491-index.html")</f>
        <v>http://www.sec.gov/Archives/edgar/data/1040130/0001571049-16-015491-index.html</v>
      </c>
    </row>
    <row r="1534" spans="1:6" x14ac:dyDescent="0.2">
      <c r="A1534" t="s">
        <v>1411</v>
      </c>
      <c r="B1534" s="1">
        <v>1076541</v>
      </c>
      <c r="C1534" s="1">
        <v>3661</v>
      </c>
      <c r="D1534" s="2">
        <v>42514</v>
      </c>
      <c r="E1534" s="1" t="s">
        <v>18</v>
      </c>
      <c r="F1534" t="str">
        <f>HYPERLINK("http://www.sec.gov/Archives/edgar/data/1076541/0001078782-16-002903-index.html")</f>
        <v>http://www.sec.gov/Archives/edgar/data/1076541/0001078782-16-002903-index.html</v>
      </c>
    </row>
    <row r="1535" spans="1:6" x14ac:dyDescent="0.2">
      <c r="A1535" t="s">
        <v>1412</v>
      </c>
      <c r="B1535" s="1">
        <v>1455819</v>
      </c>
      <c r="C1535" s="1">
        <v>3634</v>
      </c>
      <c r="D1535" s="2">
        <v>42514</v>
      </c>
      <c r="E1535" s="1" t="s">
        <v>42</v>
      </c>
      <c r="F1535" t="str">
        <f>HYPERLINK("http://www.sec.gov/Archives/edgar/data/1455819/0001213900-16-013783-index.html")</f>
        <v>http://www.sec.gov/Archives/edgar/data/1455819/0001213900-16-013783-index.html</v>
      </c>
    </row>
    <row r="1536" spans="1:6" x14ac:dyDescent="0.2">
      <c r="A1536" t="s">
        <v>1413</v>
      </c>
      <c r="B1536" s="1">
        <v>1491829</v>
      </c>
      <c r="C1536" s="1">
        <v>6770</v>
      </c>
      <c r="D1536" s="2">
        <v>42514</v>
      </c>
      <c r="E1536" s="1" t="s">
        <v>18</v>
      </c>
      <c r="F1536" t="str">
        <f>HYPERLINK("http://www.sec.gov/Archives/edgar/data/1491829/0001171520-16-000931-index.html")</f>
        <v>http://www.sec.gov/Archives/edgar/data/1491829/0001171520-16-000931-index.html</v>
      </c>
    </row>
    <row r="1537" spans="1:6" x14ac:dyDescent="0.2">
      <c r="A1537" t="s">
        <v>1414</v>
      </c>
      <c r="B1537" s="1">
        <v>1546392</v>
      </c>
      <c r="C1537" s="1">
        <v>7370</v>
      </c>
      <c r="D1537" s="2">
        <v>42514</v>
      </c>
      <c r="E1537" s="1" t="s">
        <v>18</v>
      </c>
      <c r="F1537" t="str">
        <f>HYPERLINK("http://www.sec.gov/Archives/edgar/data/1546392/0001640334-16-001154-index.html")</f>
        <v>http://www.sec.gov/Archives/edgar/data/1546392/0001640334-16-001154-index.html</v>
      </c>
    </row>
    <row r="1538" spans="1:6" x14ac:dyDescent="0.2">
      <c r="A1538" t="s">
        <v>1415</v>
      </c>
      <c r="B1538" s="1">
        <v>1642380</v>
      </c>
      <c r="C1538" s="1">
        <v>2835</v>
      </c>
      <c r="D1538" s="2">
        <v>42514</v>
      </c>
      <c r="E1538" s="1" t="s">
        <v>42</v>
      </c>
      <c r="F1538" t="str">
        <f>HYPERLINK("http://www.sec.gov/Archives/edgar/data/1642380/0001140361-16-066867-index.html")</f>
        <v>http://www.sec.gov/Archives/edgar/data/1642380/0001140361-16-066867-index.html</v>
      </c>
    </row>
    <row r="1539" spans="1:6" x14ac:dyDescent="0.2">
      <c r="A1539" t="s">
        <v>1416</v>
      </c>
      <c r="B1539" s="1">
        <v>5768</v>
      </c>
      <c r="C1539" s="1">
        <v>3844</v>
      </c>
      <c r="D1539" s="2">
        <v>42514</v>
      </c>
      <c r="E1539" s="1" t="s">
        <v>18</v>
      </c>
      <c r="F1539" t="str">
        <f>HYPERLINK("http://www.sec.gov/Archives/edgar/data/5768/0001104659-16-122964-index.html")</f>
        <v>http://www.sec.gov/Archives/edgar/data/5768/0001104659-16-122964-index.html</v>
      </c>
    </row>
    <row r="1540" spans="1:6" x14ac:dyDescent="0.2">
      <c r="A1540" t="s">
        <v>1417</v>
      </c>
      <c r="B1540" s="1">
        <v>779956</v>
      </c>
      <c r="C1540" s="1">
        <v>6141</v>
      </c>
      <c r="D1540" s="2">
        <v>42514</v>
      </c>
      <c r="E1540" s="1" t="s">
        <v>18</v>
      </c>
      <c r="F1540" t="str">
        <f>HYPERLINK("http://www.sec.gov/Archives/edgar/data/779956/0001554795-16-000713-index.html")</f>
        <v>http://www.sec.gov/Archives/edgar/data/779956/0001554795-16-000713-index.html</v>
      </c>
    </row>
    <row r="1541" spans="1:6" x14ac:dyDescent="0.2">
      <c r="A1541" t="s">
        <v>1418</v>
      </c>
      <c r="B1541" s="1">
        <v>827054</v>
      </c>
      <c r="C1541" s="1">
        <v>3674</v>
      </c>
      <c r="D1541" s="2">
        <v>42514</v>
      </c>
      <c r="E1541" s="1" t="s">
        <v>18</v>
      </c>
      <c r="F1541" t="str">
        <f>HYPERLINK("http://www.sec.gov/Archives/edgar/data/827054/0000827054-16-000344-index.html")</f>
        <v>http://www.sec.gov/Archives/edgar/data/827054/0000827054-16-000344-index.html</v>
      </c>
    </row>
    <row r="1542" spans="1:6" x14ac:dyDescent="0.2">
      <c r="A1542" t="s">
        <v>1419</v>
      </c>
      <c r="B1542" s="1">
        <v>876343</v>
      </c>
      <c r="C1542" s="1">
        <v>2836</v>
      </c>
      <c r="D1542" s="2">
        <v>42514</v>
      </c>
      <c r="E1542" s="1" t="s">
        <v>42</v>
      </c>
      <c r="F1542" t="str">
        <f>HYPERLINK("http://www.sec.gov/Archives/edgar/data/876343/0001140361-16-066868-index.html")</f>
        <v>http://www.sec.gov/Archives/edgar/data/876343/0001140361-16-066868-index.html</v>
      </c>
    </row>
    <row r="1543" spans="1:6" x14ac:dyDescent="0.2">
      <c r="A1543" t="s">
        <v>1420</v>
      </c>
      <c r="B1543" s="1">
        <v>936446</v>
      </c>
      <c r="C1543" s="1">
        <v>5072</v>
      </c>
      <c r="D1543" s="2">
        <v>42514</v>
      </c>
      <c r="E1543" s="1" t="s">
        <v>18</v>
      </c>
      <c r="F1543" t="str">
        <f>HYPERLINK("http://www.sec.gov/Archives/edgar/data/936446/0001477932-16-010586-index.html")</f>
        <v>http://www.sec.gov/Archives/edgar/data/936446/0001477932-16-010586-index.html</v>
      </c>
    </row>
    <row r="1544" spans="1:6" x14ac:dyDescent="0.2">
      <c r="A1544" t="s">
        <v>1421</v>
      </c>
      <c r="B1544" s="1">
        <v>1032975</v>
      </c>
      <c r="C1544" s="1">
        <v>3577</v>
      </c>
      <c r="D1544" s="2">
        <v>42513</v>
      </c>
      <c r="E1544" s="1" t="s">
        <v>18</v>
      </c>
      <c r="F1544" t="str">
        <f>HYPERLINK("http://www.sec.gov/Archives/edgar/data/1032975/0001032975-16-000083-index.html")</f>
        <v>http://www.sec.gov/Archives/edgar/data/1032975/0001032975-16-000083-index.html</v>
      </c>
    </row>
    <row r="1545" spans="1:6" x14ac:dyDescent="0.2">
      <c r="A1545" t="s">
        <v>1422</v>
      </c>
      <c r="B1545" s="1">
        <v>1420368</v>
      </c>
      <c r="C1545" s="1">
        <v>7200</v>
      </c>
      <c r="D1545" s="2">
        <v>42513</v>
      </c>
      <c r="E1545" s="1" t="s">
        <v>18</v>
      </c>
      <c r="F1545" t="str">
        <f>HYPERLINK("http://www.sec.gov/Archives/edgar/data/1420368/0001477932-16-010545-index.html")</f>
        <v>http://www.sec.gov/Archives/edgar/data/1420368/0001477932-16-010545-index.html</v>
      </c>
    </row>
    <row r="1546" spans="1:6" x14ac:dyDescent="0.2">
      <c r="A1546" t="s">
        <v>1423</v>
      </c>
      <c r="B1546" s="1">
        <v>1424549</v>
      </c>
      <c r="C1546" s="1">
        <v>5900</v>
      </c>
      <c r="D1546" s="2">
        <v>42513</v>
      </c>
      <c r="E1546" s="1" t="s">
        <v>42</v>
      </c>
      <c r="F1546" t="str">
        <f>HYPERLINK("http://www.sec.gov/Archives/edgar/data/1424549/0001079974-16-001228-index.html")</f>
        <v>http://www.sec.gov/Archives/edgar/data/1424549/0001079974-16-001228-index.html</v>
      </c>
    </row>
    <row r="1547" spans="1:6" x14ac:dyDescent="0.2">
      <c r="A1547" t="s">
        <v>1424</v>
      </c>
      <c r="B1547" s="1">
        <v>1458581</v>
      </c>
      <c r="C1547" s="1">
        <v>1040</v>
      </c>
      <c r="D1547" s="2">
        <v>42513</v>
      </c>
      <c r="E1547" s="1" t="s">
        <v>18</v>
      </c>
      <c r="F1547" t="str">
        <f>HYPERLINK("http://www.sec.gov/Archives/edgar/data/1458581/0001594062-16-000490-index.html")</f>
        <v>http://www.sec.gov/Archives/edgar/data/1458581/0001594062-16-000490-index.html</v>
      </c>
    </row>
    <row r="1548" spans="1:6" x14ac:dyDescent="0.2">
      <c r="A1548" t="s">
        <v>1425</v>
      </c>
      <c r="B1548" s="1">
        <v>1527032</v>
      </c>
      <c r="C1548" s="1">
        <v>1400</v>
      </c>
      <c r="D1548" s="2">
        <v>42513</v>
      </c>
      <c r="E1548" s="1" t="s">
        <v>18</v>
      </c>
      <c r="F1548" t="str">
        <f>HYPERLINK("http://www.sec.gov/Archives/edgar/data/1527032/0001527032-16-000044-index.html")</f>
        <v>http://www.sec.gov/Archives/edgar/data/1527032/0001527032-16-000044-index.html</v>
      </c>
    </row>
    <row r="1549" spans="1:6" x14ac:dyDescent="0.2">
      <c r="A1549" t="s">
        <v>1426</v>
      </c>
      <c r="B1549" s="1">
        <v>1541354</v>
      </c>
      <c r="C1549" s="1">
        <v>6221</v>
      </c>
      <c r="D1549" s="2">
        <v>42513</v>
      </c>
      <c r="E1549" s="1" t="s">
        <v>42</v>
      </c>
      <c r="F1549" t="str">
        <f>HYPERLINK("http://www.sec.gov/Archives/edgar/data/1541354/0001493152-16-010216-index.html")</f>
        <v>http://www.sec.gov/Archives/edgar/data/1541354/0001493152-16-010216-index.html</v>
      </c>
    </row>
    <row r="1550" spans="1:6" x14ac:dyDescent="0.2">
      <c r="A1550" t="s">
        <v>1354</v>
      </c>
      <c r="B1550" s="1">
        <v>1549872</v>
      </c>
      <c r="C1550" s="1">
        <v>7389</v>
      </c>
      <c r="D1550" s="2">
        <v>42513</v>
      </c>
      <c r="E1550" s="1" t="s">
        <v>18</v>
      </c>
      <c r="F1550" t="str">
        <f>HYPERLINK("http://www.sec.gov/Archives/edgar/data/1549872/0001549872-16-000093-index.html")</f>
        <v>http://www.sec.gov/Archives/edgar/data/1549872/0001549872-16-000093-index.html</v>
      </c>
    </row>
    <row r="1551" spans="1:6" x14ac:dyDescent="0.2">
      <c r="A1551" t="s">
        <v>1427</v>
      </c>
      <c r="B1551" s="1">
        <v>1616262</v>
      </c>
      <c r="C1551" s="1">
        <v>2060</v>
      </c>
      <c r="D1551" s="2">
        <v>42513</v>
      </c>
      <c r="E1551" s="1" t="s">
        <v>18</v>
      </c>
      <c r="F1551" t="str">
        <f>HYPERLINK("http://www.sec.gov/Archives/edgar/data/1616262/0001437749-16-032668-index.html")</f>
        <v>http://www.sec.gov/Archives/edgar/data/1616262/0001437749-16-032668-index.html</v>
      </c>
    </row>
    <row r="1552" spans="1:6" x14ac:dyDescent="0.2">
      <c r="A1552" t="s">
        <v>1428</v>
      </c>
      <c r="B1552" s="1">
        <v>1626853</v>
      </c>
      <c r="C1552" s="1">
        <v>7372</v>
      </c>
      <c r="D1552" s="2">
        <v>42513</v>
      </c>
      <c r="E1552" s="1" t="s">
        <v>18</v>
      </c>
      <c r="F1552" t="str">
        <f>HYPERLINK("http://www.sec.gov/Archives/edgar/data/1626853/0001571049-16-015473-index.html")</f>
        <v>http://www.sec.gov/Archives/edgar/data/1626853/0001571049-16-015473-index.html</v>
      </c>
    </row>
    <row r="1553" spans="1:6" x14ac:dyDescent="0.2">
      <c r="A1553" t="s">
        <v>1429</v>
      </c>
      <c r="B1553" s="1">
        <v>704051</v>
      </c>
      <c r="C1553" s="1">
        <v>6282</v>
      </c>
      <c r="D1553" s="2">
        <v>42513</v>
      </c>
      <c r="E1553" s="1" t="s">
        <v>18</v>
      </c>
      <c r="F1553" t="str">
        <f>HYPERLINK("http://www.sec.gov/Archives/edgar/data/704051/0000704051-16-000149-index.html")</f>
        <v>http://www.sec.gov/Archives/edgar/data/704051/0000704051-16-000149-index.html</v>
      </c>
    </row>
    <row r="1554" spans="1:6" x14ac:dyDescent="0.2">
      <c r="A1554" t="s">
        <v>1430</v>
      </c>
      <c r="B1554" s="1">
        <v>81318</v>
      </c>
      <c r="C1554" s="1">
        <v>1311</v>
      </c>
      <c r="D1554" s="2">
        <v>42513</v>
      </c>
      <c r="E1554" s="1" t="s">
        <v>42</v>
      </c>
      <c r="F1554" t="str">
        <f>HYPERLINK("http://www.sec.gov/Archives/edgar/data/81318/0001354488-16-007616-index.html")</f>
        <v>http://www.sec.gov/Archives/edgar/data/81318/0001354488-16-007616-index.html</v>
      </c>
    </row>
    <row r="1555" spans="1:6" x14ac:dyDescent="0.2">
      <c r="A1555" t="s">
        <v>1431</v>
      </c>
      <c r="B1555" s="1">
        <v>882800</v>
      </c>
      <c r="C1555" s="1">
        <v>2080</v>
      </c>
      <c r="D1555" s="2">
        <v>42513</v>
      </c>
      <c r="E1555" s="1" t="s">
        <v>18</v>
      </c>
      <c r="F1555" t="str">
        <f>HYPERLINK("http://www.sec.gov/Archives/edgar/data/882800/0001079974-16-001239-index.html")</f>
        <v>http://www.sec.gov/Archives/edgar/data/882800/0001079974-16-001239-index.html</v>
      </c>
    </row>
    <row r="1556" spans="1:6" x14ac:dyDescent="0.2">
      <c r="A1556" t="s">
        <v>504</v>
      </c>
      <c r="B1556" s="1">
        <v>1142790</v>
      </c>
      <c r="C1556" s="1">
        <v>2833</v>
      </c>
      <c r="D1556" s="2">
        <v>42510</v>
      </c>
      <c r="E1556" s="1" t="s">
        <v>18</v>
      </c>
      <c r="F1556" t="str">
        <f>HYPERLINK("http://www.sec.gov/Archives/edgar/data/1142790/0001493152-16-010145-index.html")</f>
        <v>http://www.sec.gov/Archives/edgar/data/1142790/0001493152-16-010145-index.html</v>
      </c>
    </row>
    <row r="1557" spans="1:6" x14ac:dyDescent="0.2">
      <c r="A1557" t="s">
        <v>1432</v>
      </c>
      <c r="B1557" s="1">
        <v>1168213</v>
      </c>
      <c r="C1557" s="1">
        <v>5600</v>
      </c>
      <c r="D1557" s="2">
        <v>42510</v>
      </c>
      <c r="E1557" s="1" t="s">
        <v>18</v>
      </c>
      <c r="F1557" t="str">
        <f>HYPERLINK("http://www.sec.gov/Archives/edgar/data/1168213/0001168213-16-000111-index.html")</f>
        <v>http://www.sec.gov/Archives/edgar/data/1168213/0001168213-16-000111-index.html</v>
      </c>
    </row>
    <row r="1558" spans="1:6" x14ac:dyDescent="0.2">
      <c r="A1558" t="s">
        <v>1433</v>
      </c>
      <c r="B1558" s="1">
        <v>1420031</v>
      </c>
      <c r="C1558" s="1">
        <v>6770</v>
      </c>
      <c r="D1558" s="2">
        <v>42510</v>
      </c>
      <c r="E1558" s="1" t="s">
        <v>18</v>
      </c>
      <c r="F1558" t="str">
        <f>HYPERLINK("http://www.sec.gov/Archives/edgar/data/1420031/0001047469-16-013346-index.html")</f>
        <v>http://www.sec.gov/Archives/edgar/data/1420031/0001047469-16-013346-index.html</v>
      </c>
    </row>
    <row r="1559" spans="1:6" x14ac:dyDescent="0.2">
      <c r="A1559" t="s">
        <v>1434</v>
      </c>
      <c r="B1559" s="1">
        <v>1551270</v>
      </c>
      <c r="C1559" s="1">
        <v>6189</v>
      </c>
      <c r="D1559" s="2">
        <v>42510</v>
      </c>
      <c r="E1559" s="1" t="s">
        <v>18</v>
      </c>
      <c r="F1559" t="str">
        <f>HYPERLINK("http://www.sec.gov/Archives/edgar/data/1551270/0001551270-16-000028-index.html")</f>
        <v>http://www.sec.gov/Archives/edgar/data/1551270/0001551270-16-000028-index.html</v>
      </c>
    </row>
    <row r="1560" spans="1:6" x14ac:dyDescent="0.2">
      <c r="A1560" t="s">
        <v>1435</v>
      </c>
      <c r="B1560" s="1">
        <v>1559163</v>
      </c>
      <c r="C1560" s="1">
        <v>6189</v>
      </c>
      <c r="D1560" s="2">
        <v>42510</v>
      </c>
      <c r="E1560" s="1" t="s">
        <v>18</v>
      </c>
      <c r="F1560" t="str">
        <f>HYPERLINK("http://www.sec.gov/Archives/edgar/data/1559163/0001559163-16-000026-index.html")</f>
        <v>http://www.sec.gov/Archives/edgar/data/1559163/0001559163-16-000026-index.html</v>
      </c>
    </row>
    <row r="1561" spans="1:6" x14ac:dyDescent="0.2">
      <c r="A1561" t="s">
        <v>1436</v>
      </c>
      <c r="B1561" s="1">
        <v>1567980</v>
      </c>
      <c r="C1561" s="1">
        <v>6189</v>
      </c>
      <c r="D1561" s="2">
        <v>42510</v>
      </c>
      <c r="E1561" s="1" t="s">
        <v>18</v>
      </c>
      <c r="F1561" t="str">
        <f>HYPERLINK("http://www.sec.gov/Archives/edgar/data/1567980/0001567980-16-000027-index.html")</f>
        <v>http://www.sec.gov/Archives/edgar/data/1567980/0001567980-16-000027-index.html</v>
      </c>
    </row>
    <row r="1562" spans="1:6" x14ac:dyDescent="0.2">
      <c r="A1562" t="s">
        <v>1437</v>
      </c>
      <c r="B1562" s="1">
        <v>1575896</v>
      </c>
      <c r="C1562" s="1">
        <v>6189</v>
      </c>
      <c r="D1562" s="2">
        <v>42510</v>
      </c>
      <c r="E1562" s="1" t="s">
        <v>18</v>
      </c>
      <c r="F1562" t="str">
        <f>HYPERLINK("http://www.sec.gov/Archives/edgar/data/1575896/0001575896-16-000025-index.html")</f>
        <v>http://www.sec.gov/Archives/edgar/data/1575896/0001575896-16-000025-index.html</v>
      </c>
    </row>
    <row r="1563" spans="1:6" x14ac:dyDescent="0.2">
      <c r="A1563" t="s">
        <v>1438</v>
      </c>
      <c r="B1563" s="1">
        <v>1582463</v>
      </c>
      <c r="C1563" s="1">
        <v>6189</v>
      </c>
      <c r="D1563" s="2">
        <v>42510</v>
      </c>
      <c r="E1563" s="1" t="s">
        <v>18</v>
      </c>
      <c r="F1563" t="str">
        <f>HYPERLINK("http://www.sec.gov/Archives/edgar/data/1582463/0001582463-16-000025-index.html")</f>
        <v>http://www.sec.gov/Archives/edgar/data/1582463/0001582463-16-000025-index.html</v>
      </c>
    </row>
    <row r="1564" spans="1:6" x14ac:dyDescent="0.2">
      <c r="A1564" t="s">
        <v>1439</v>
      </c>
      <c r="B1564" s="1">
        <v>1583138</v>
      </c>
      <c r="C1564" s="1">
        <v>7819</v>
      </c>
      <c r="D1564" s="2">
        <v>42510</v>
      </c>
      <c r="E1564" s="1" t="s">
        <v>18</v>
      </c>
      <c r="F1564" t="str">
        <f>HYPERLINK("http://www.sec.gov/Archives/edgar/data/1583138/0001493152-16-010132-index.html")</f>
        <v>http://www.sec.gov/Archives/edgar/data/1583138/0001493152-16-010132-index.html</v>
      </c>
    </row>
    <row r="1565" spans="1:6" x14ac:dyDescent="0.2">
      <c r="A1565" t="s">
        <v>1440</v>
      </c>
      <c r="B1565" s="1">
        <v>1590211</v>
      </c>
      <c r="C1565" s="1">
        <v>6189</v>
      </c>
      <c r="D1565" s="2">
        <v>42510</v>
      </c>
      <c r="E1565" s="1" t="s">
        <v>18</v>
      </c>
      <c r="F1565" t="str">
        <f>HYPERLINK("http://www.sec.gov/Archives/edgar/data/1590211/0001590211-16-000025-index.html")</f>
        <v>http://www.sec.gov/Archives/edgar/data/1590211/0001590211-16-000025-index.html</v>
      </c>
    </row>
    <row r="1566" spans="1:6" x14ac:dyDescent="0.2">
      <c r="A1566" t="s">
        <v>1441</v>
      </c>
      <c r="B1566" s="1">
        <v>1598693</v>
      </c>
      <c r="C1566" s="1">
        <v>6189</v>
      </c>
      <c r="D1566" s="2">
        <v>42510</v>
      </c>
      <c r="E1566" s="1" t="s">
        <v>18</v>
      </c>
      <c r="F1566" t="str">
        <f>HYPERLINK("http://www.sec.gov/Archives/edgar/data/1598693/0001598693-16-000025-index.html")</f>
        <v>http://www.sec.gov/Archives/edgar/data/1598693/0001598693-16-000025-index.html</v>
      </c>
    </row>
    <row r="1567" spans="1:6" x14ac:dyDescent="0.2">
      <c r="A1567" t="s">
        <v>1442</v>
      </c>
      <c r="B1567" s="1">
        <v>1607082</v>
      </c>
      <c r="C1567" s="1">
        <v>6189</v>
      </c>
      <c r="D1567" s="2">
        <v>42510</v>
      </c>
      <c r="E1567" s="1" t="s">
        <v>18</v>
      </c>
      <c r="F1567" t="str">
        <f>HYPERLINK("http://www.sec.gov/Archives/edgar/data/1607082/0001607082-16-000024-index.html")</f>
        <v>http://www.sec.gov/Archives/edgar/data/1607082/0001607082-16-000024-index.html</v>
      </c>
    </row>
    <row r="1568" spans="1:6" x14ac:dyDescent="0.2">
      <c r="A1568" t="s">
        <v>1443</v>
      </c>
      <c r="B1568" s="1">
        <v>1615396</v>
      </c>
      <c r="C1568" s="1">
        <v>6189</v>
      </c>
      <c r="D1568" s="2">
        <v>42510</v>
      </c>
      <c r="E1568" s="1" t="s">
        <v>18</v>
      </c>
      <c r="F1568" t="str">
        <f>HYPERLINK("http://www.sec.gov/Archives/edgar/data/1615396/0001615396-16-000024-index.html")</f>
        <v>http://www.sec.gov/Archives/edgar/data/1615396/0001615396-16-000024-index.html</v>
      </c>
    </row>
    <row r="1569" spans="1:6" x14ac:dyDescent="0.2">
      <c r="A1569" t="s">
        <v>1444</v>
      </c>
      <c r="B1569" s="1">
        <v>1623837</v>
      </c>
      <c r="C1569" s="1">
        <v>6189</v>
      </c>
      <c r="D1569" s="2">
        <v>42510</v>
      </c>
      <c r="E1569" s="1" t="s">
        <v>18</v>
      </c>
      <c r="F1569" t="str">
        <f>HYPERLINK("http://www.sec.gov/Archives/edgar/data/1623837/0001623837-16-000025-index.html")</f>
        <v>http://www.sec.gov/Archives/edgar/data/1623837/0001623837-16-000025-index.html</v>
      </c>
    </row>
    <row r="1570" spans="1:6" x14ac:dyDescent="0.2">
      <c r="A1570" t="s">
        <v>1445</v>
      </c>
      <c r="B1570" s="1">
        <v>1624203</v>
      </c>
      <c r="C1570" s="1">
        <v>2833</v>
      </c>
      <c r="D1570" s="2">
        <v>42510</v>
      </c>
      <c r="E1570" s="1" t="s">
        <v>18</v>
      </c>
      <c r="F1570" t="str">
        <f>HYPERLINK("http://www.sec.gov/Archives/edgar/data/1624203/0001553350-16-002070-index.html")</f>
        <v>http://www.sec.gov/Archives/edgar/data/1624203/0001553350-16-002070-index.html</v>
      </c>
    </row>
    <row r="1571" spans="1:6" x14ac:dyDescent="0.2">
      <c r="A1571" t="s">
        <v>1446</v>
      </c>
      <c r="B1571" s="1">
        <v>1633241</v>
      </c>
      <c r="C1571" s="1">
        <v>6189</v>
      </c>
      <c r="D1571" s="2">
        <v>42510</v>
      </c>
      <c r="E1571" s="1" t="s">
        <v>18</v>
      </c>
      <c r="F1571" t="str">
        <f>HYPERLINK("http://www.sec.gov/Archives/edgar/data/1633241/0001633241-16-000025-index.html")</f>
        <v>http://www.sec.gov/Archives/edgar/data/1633241/0001633241-16-000025-index.html</v>
      </c>
    </row>
    <row r="1572" spans="1:6" x14ac:dyDescent="0.2">
      <c r="A1572" t="s">
        <v>1447</v>
      </c>
      <c r="B1572" s="1">
        <v>1640878</v>
      </c>
      <c r="C1572" s="1">
        <v>6189</v>
      </c>
      <c r="D1572" s="2">
        <v>42510</v>
      </c>
      <c r="E1572" s="1" t="s">
        <v>18</v>
      </c>
      <c r="F1572" t="str">
        <f>HYPERLINK("http://www.sec.gov/Archives/edgar/data/1640878/0001640878-16-000030-index.html")</f>
        <v>http://www.sec.gov/Archives/edgar/data/1640878/0001640878-16-000030-index.html</v>
      </c>
    </row>
    <row r="1573" spans="1:6" x14ac:dyDescent="0.2">
      <c r="A1573" t="s">
        <v>1448</v>
      </c>
      <c r="B1573" s="1">
        <v>1648945</v>
      </c>
      <c r="C1573" s="1">
        <v>6189</v>
      </c>
      <c r="D1573" s="2">
        <v>42510</v>
      </c>
      <c r="E1573" s="1" t="s">
        <v>18</v>
      </c>
      <c r="F1573" t="str">
        <f>HYPERLINK("http://www.sec.gov/Archives/edgar/data/1648945/0001648945-16-000027-index.html")</f>
        <v>http://www.sec.gov/Archives/edgar/data/1648945/0001648945-16-000027-index.html</v>
      </c>
    </row>
    <row r="1574" spans="1:6" x14ac:dyDescent="0.2">
      <c r="A1574" t="s">
        <v>1449</v>
      </c>
      <c r="B1574" s="1">
        <v>1654861</v>
      </c>
      <c r="C1574" s="1">
        <v>6189</v>
      </c>
      <c r="D1574" s="2">
        <v>42510</v>
      </c>
      <c r="E1574" s="1" t="s">
        <v>18</v>
      </c>
      <c r="F1574" t="str">
        <f>HYPERLINK("http://www.sec.gov/Archives/edgar/data/1654861/0001654861-16-000021-index.html")</f>
        <v>http://www.sec.gov/Archives/edgar/data/1654861/0001654861-16-000021-index.html</v>
      </c>
    </row>
    <row r="1575" spans="1:6" x14ac:dyDescent="0.2">
      <c r="A1575" t="s">
        <v>1450</v>
      </c>
      <c r="B1575" s="1">
        <v>1662810</v>
      </c>
      <c r="C1575" s="1">
        <v>6189</v>
      </c>
      <c r="D1575" s="2">
        <v>42510</v>
      </c>
      <c r="E1575" s="1" t="s">
        <v>18</v>
      </c>
      <c r="F1575" t="str">
        <f>HYPERLINK("http://www.sec.gov/Archives/edgar/data/1662810/0001662810-16-000013-index.html")</f>
        <v>http://www.sec.gov/Archives/edgar/data/1662810/0001662810-16-000013-index.html</v>
      </c>
    </row>
    <row r="1576" spans="1:6" x14ac:dyDescent="0.2">
      <c r="A1576" t="s">
        <v>1451</v>
      </c>
      <c r="B1576" s="1">
        <v>703361</v>
      </c>
      <c r="C1576" s="1">
        <v>3674</v>
      </c>
      <c r="D1576" s="2">
        <v>42510</v>
      </c>
      <c r="E1576" s="1" t="s">
        <v>18</v>
      </c>
      <c r="F1576" t="str">
        <f>HYPERLINK("http://www.sec.gov/Archives/edgar/data/703361/0001628280-16-016557-index.html")</f>
        <v>http://www.sec.gov/Archives/edgar/data/703361/0001628280-16-016557-index.html</v>
      </c>
    </row>
    <row r="1577" spans="1:6" x14ac:dyDescent="0.2">
      <c r="A1577" t="s">
        <v>1452</v>
      </c>
      <c r="B1577" s="1">
        <v>711065</v>
      </c>
      <c r="C1577" s="1">
        <v>3674</v>
      </c>
      <c r="D1577" s="2">
        <v>42510</v>
      </c>
      <c r="E1577" s="1" t="s">
        <v>18</v>
      </c>
      <c r="F1577" t="str">
        <f>HYPERLINK("http://www.sec.gov/Archives/edgar/data/711065/0001628280-16-016577-index.html")</f>
        <v>http://www.sec.gov/Archives/edgar/data/711065/0001628280-16-016577-index.html</v>
      </c>
    </row>
    <row r="1578" spans="1:6" x14ac:dyDescent="0.2">
      <c r="A1578" t="s">
        <v>1453</v>
      </c>
      <c r="B1578" s="1">
        <v>849399</v>
      </c>
      <c r="C1578" s="1">
        <v>7372</v>
      </c>
      <c r="D1578" s="2">
        <v>42510</v>
      </c>
      <c r="E1578" s="1" t="s">
        <v>18</v>
      </c>
      <c r="F1578" t="str">
        <f>HYPERLINK("http://www.sec.gov/Archives/edgar/data/849399/0000849399-16-000022-index.html")</f>
        <v>http://www.sec.gov/Archives/edgar/data/849399/0000849399-16-000022-index.html</v>
      </c>
    </row>
    <row r="1579" spans="1:6" x14ac:dyDescent="0.2">
      <c r="A1579" t="s">
        <v>1454</v>
      </c>
      <c r="B1579" s="1">
        <v>859163</v>
      </c>
      <c r="C1579" s="1">
        <v>3670</v>
      </c>
      <c r="D1579" s="2">
        <v>42510</v>
      </c>
      <c r="E1579" s="1" t="s">
        <v>18</v>
      </c>
      <c r="F1579" t="str">
        <f>HYPERLINK("http://www.sec.gov/Archives/edgar/data/859163/0000859163-16-000079-index.html")</f>
        <v>http://www.sec.gov/Archives/edgar/data/859163/0000859163-16-000079-index.html</v>
      </c>
    </row>
    <row r="1580" spans="1:6" x14ac:dyDescent="0.2">
      <c r="A1580" t="s">
        <v>1455</v>
      </c>
      <c r="B1580" s="1">
        <v>866374</v>
      </c>
      <c r="C1580" s="1">
        <v>3672</v>
      </c>
      <c r="D1580" s="2">
        <v>42510</v>
      </c>
      <c r="E1580" s="1" t="s">
        <v>18</v>
      </c>
      <c r="F1580" t="str">
        <f>HYPERLINK("http://www.sec.gov/Archives/edgar/data/866374/0001628280-16-016576-index.html")</f>
        <v>http://www.sec.gov/Archives/edgar/data/866374/0001628280-16-016576-index.html</v>
      </c>
    </row>
    <row r="1581" spans="1:6" x14ac:dyDescent="0.2">
      <c r="A1581" t="s">
        <v>1456</v>
      </c>
      <c r="B1581" s="1">
        <v>1037038</v>
      </c>
      <c r="C1581" s="1">
        <v>2320</v>
      </c>
      <c r="D1581" s="2">
        <v>42509</v>
      </c>
      <c r="E1581" s="1" t="s">
        <v>18</v>
      </c>
      <c r="F1581" t="str">
        <f>HYPERLINK("http://www.sec.gov/Archives/edgar/data/1037038/0001037038-16-000019-index.html")</f>
        <v>http://www.sec.gov/Archives/edgar/data/1037038/0001037038-16-000019-index.html</v>
      </c>
    </row>
    <row r="1582" spans="1:6" x14ac:dyDescent="0.2">
      <c r="A1582" t="s">
        <v>1457</v>
      </c>
      <c r="B1582" s="1">
        <v>1040850</v>
      </c>
      <c r="C1582" s="1">
        <v>5960</v>
      </c>
      <c r="D1582" s="2">
        <v>42509</v>
      </c>
      <c r="E1582" s="1" t="s">
        <v>18</v>
      </c>
      <c r="F1582" t="str">
        <f>HYPERLINK("http://www.sec.gov/Archives/edgar/data/1040850/0001554795-16-000698-index.html")</f>
        <v>http://www.sec.gov/Archives/edgar/data/1040850/0001554795-16-000698-index.html</v>
      </c>
    </row>
    <row r="1583" spans="1:6" x14ac:dyDescent="0.2">
      <c r="A1583" t="s">
        <v>1458</v>
      </c>
      <c r="B1583" s="1">
        <v>1278752</v>
      </c>
      <c r="C1583" s="1">
        <v>2000</v>
      </c>
      <c r="D1583" s="2">
        <v>42509</v>
      </c>
      <c r="E1583" s="1" t="s">
        <v>18</v>
      </c>
      <c r="F1583" t="str">
        <f>HYPERLINK("http://www.sec.gov/Archives/edgar/data/1278752/0001278752-16-000032-index.html")</f>
        <v>http://www.sec.gov/Archives/edgar/data/1278752/0001278752-16-000032-index.html</v>
      </c>
    </row>
    <row r="1584" spans="1:6" x14ac:dyDescent="0.2">
      <c r="A1584" t="s">
        <v>1459</v>
      </c>
      <c r="B1584" s="1">
        <v>1311735</v>
      </c>
      <c r="C1584" s="1">
        <v>2080</v>
      </c>
      <c r="D1584" s="2">
        <v>42509</v>
      </c>
      <c r="E1584" s="1" t="s">
        <v>18</v>
      </c>
      <c r="F1584" t="str">
        <f>HYPERLINK("http://www.sec.gov/Archives/edgar/data/1311735/0001019687-16-006394-index.html")</f>
        <v>http://www.sec.gov/Archives/edgar/data/1311735/0001019687-16-006394-index.html</v>
      </c>
    </row>
    <row r="1585" spans="1:6" x14ac:dyDescent="0.2">
      <c r="A1585" t="s">
        <v>1460</v>
      </c>
      <c r="B1585" s="1">
        <v>1396279</v>
      </c>
      <c r="C1585" s="1">
        <v>5731</v>
      </c>
      <c r="D1585" s="2">
        <v>42509</v>
      </c>
      <c r="E1585" s="1" t="s">
        <v>18</v>
      </c>
      <c r="F1585" t="str">
        <f>HYPERLINK("http://www.sec.gov/Archives/edgar/data/1396279/0001396279-16-000124-index.html")</f>
        <v>http://www.sec.gov/Archives/edgar/data/1396279/0001396279-16-000124-index.html</v>
      </c>
    </row>
    <row r="1586" spans="1:6" x14ac:dyDescent="0.2">
      <c r="A1586" t="s">
        <v>1461</v>
      </c>
      <c r="B1586" s="1">
        <v>1439288</v>
      </c>
      <c r="C1586" s="1">
        <v>3560</v>
      </c>
      <c r="D1586" s="2">
        <v>42509</v>
      </c>
      <c r="E1586" s="1" t="s">
        <v>18</v>
      </c>
      <c r="F1586" t="str">
        <f>HYPERLINK("http://www.sec.gov/Archives/edgar/data/1439288/0001439288-16-000155-index.html")</f>
        <v>http://www.sec.gov/Archives/edgar/data/1439288/0001439288-16-000155-index.html</v>
      </c>
    </row>
    <row r="1587" spans="1:6" x14ac:dyDescent="0.2">
      <c r="A1587" t="s">
        <v>1462</v>
      </c>
      <c r="B1587" s="1">
        <v>1443646</v>
      </c>
      <c r="C1587" s="1">
        <v>8742</v>
      </c>
      <c r="D1587" s="2">
        <v>42509</v>
      </c>
      <c r="E1587" s="1" t="s">
        <v>18</v>
      </c>
      <c r="F1587" t="str">
        <f>HYPERLINK("http://www.sec.gov/Archives/edgar/data/1443646/0001443646-16-000138-index.html")</f>
        <v>http://www.sec.gov/Archives/edgar/data/1443646/0001443646-16-000138-index.html</v>
      </c>
    </row>
    <row r="1588" spans="1:6" x14ac:dyDescent="0.2">
      <c r="A1588" t="s">
        <v>1463</v>
      </c>
      <c r="B1588" s="1">
        <v>1506503</v>
      </c>
      <c r="C1588" s="1">
        <v>2111</v>
      </c>
      <c r="D1588" s="2">
        <v>42509</v>
      </c>
      <c r="E1588" s="1" t="s">
        <v>18</v>
      </c>
      <c r="F1588" t="str">
        <f>HYPERLINK("http://www.sec.gov/Archives/edgar/data/1506503/0001415889-16-005995-index.html")</f>
        <v>http://www.sec.gov/Archives/edgar/data/1506503/0001415889-16-005995-index.html</v>
      </c>
    </row>
    <row r="1589" spans="1:6" x14ac:dyDescent="0.2">
      <c r="A1589" t="s">
        <v>1464</v>
      </c>
      <c r="B1589" s="1">
        <v>1514888</v>
      </c>
      <c r="C1589" s="1">
        <v>3290</v>
      </c>
      <c r="D1589" s="2">
        <v>42509</v>
      </c>
      <c r="E1589" s="1" t="s">
        <v>18</v>
      </c>
      <c r="F1589" t="str">
        <f>HYPERLINK("http://www.sec.gov/Archives/edgar/data/1514888/0001514888-16-000008-index.html")</f>
        <v>http://www.sec.gov/Archives/edgar/data/1514888/0001514888-16-000008-index.html</v>
      </c>
    </row>
    <row r="1590" spans="1:6" x14ac:dyDescent="0.2">
      <c r="A1590" t="s">
        <v>1465</v>
      </c>
      <c r="B1590" s="1">
        <v>855787</v>
      </c>
      <c r="C1590" s="1">
        <v>1311</v>
      </c>
      <c r="D1590" s="2">
        <v>42509</v>
      </c>
      <c r="E1590" s="1" t="s">
        <v>18</v>
      </c>
      <c r="F1590" t="str">
        <f>HYPERLINK("http://www.sec.gov/Archives/edgar/data/855787/0001078782-16-002862-index.html")</f>
        <v>http://www.sec.gov/Archives/edgar/data/855787/0001078782-16-002862-index.html</v>
      </c>
    </row>
    <row r="1591" spans="1:6" x14ac:dyDescent="0.2">
      <c r="A1591" t="s">
        <v>1466</v>
      </c>
      <c r="B1591" s="1">
        <v>946581</v>
      </c>
      <c r="C1591" s="1">
        <v>7372</v>
      </c>
      <c r="D1591" s="2">
        <v>42509</v>
      </c>
      <c r="E1591" s="1" t="s">
        <v>18</v>
      </c>
      <c r="F1591" t="str">
        <f>HYPERLINK("http://www.sec.gov/Archives/edgar/data/946581/0001047469-16-013278-index.html")</f>
        <v>http://www.sec.gov/Archives/edgar/data/946581/0001047469-16-013278-index.html</v>
      </c>
    </row>
    <row r="1592" spans="1:6" x14ac:dyDescent="0.2">
      <c r="A1592" t="s">
        <v>627</v>
      </c>
      <c r="B1592" s="1">
        <v>1230058</v>
      </c>
      <c r="C1592" s="1">
        <v>6552</v>
      </c>
      <c r="D1592" s="2">
        <v>42508</v>
      </c>
      <c r="E1592" s="1" t="s">
        <v>18</v>
      </c>
      <c r="F1592" t="str">
        <f>HYPERLINK("http://www.sec.gov/Archives/edgar/data/1230058/0000892626-16-000472-index.html")</f>
        <v>http://www.sec.gov/Archives/edgar/data/1230058/0000892626-16-000472-index.html</v>
      </c>
    </row>
    <row r="1593" spans="1:6" x14ac:dyDescent="0.2">
      <c r="A1593" t="s">
        <v>1467</v>
      </c>
      <c r="B1593" s="1">
        <v>798371</v>
      </c>
      <c r="C1593" s="1">
        <v>3559</v>
      </c>
      <c r="D1593" s="2">
        <v>42508</v>
      </c>
      <c r="E1593" s="1" t="s">
        <v>18</v>
      </c>
      <c r="F1593" t="str">
        <f>HYPERLINK("http://www.sec.gov/Archives/edgar/data/798371/0001173375-16-000226-index.html")</f>
        <v>http://www.sec.gov/Archives/edgar/data/798371/0001173375-16-000226-index.html</v>
      </c>
    </row>
    <row r="1594" spans="1:6" x14ac:dyDescent="0.2">
      <c r="A1594" t="s">
        <v>1468</v>
      </c>
      <c r="B1594" s="1">
        <v>101830</v>
      </c>
      <c r="C1594" s="1">
        <v>4813</v>
      </c>
      <c r="D1594" s="2">
        <v>42507</v>
      </c>
      <c r="E1594" s="1" t="s">
        <v>18</v>
      </c>
      <c r="F1594" t="str">
        <f>HYPERLINK("http://www.sec.gov/Archives/edgar/data/101830/0000101830-16-000066-index.html")</f>
        <v>http://www.sec.gov/Archives/edgar/data/101830/0000101830-16-000066-index.html</v>
      </c>
    </row>
    <row r="1595" spans="1:6" x14ac:dyDescent="0.2">
      <c r="A1595" t="s">
        <v>1469</v>
      </c>
      <c r="B1595" s="1">
        <v>1172178</v>
      </c>
      <c r="C1595" s="1">
        <v>1000</v>
      </c>
      <c r="D1595" s="2">
        <v>42507</v>
      </c>
      <c r="E1595" s="1" t="s">
        <v>18</v>
      </c>
      <c r="F1595" t="str">
        <f>HYPERLINK("http://www.sec.gov/Archives/edgar/data/1172178/0001213900-16-013553-index.html")</f>
        <v>http://www.sec.gov/Archives/edgar/data/1172178/0001213900-16-013553-index.html</v>
      </c>
    </row>
    <row r="1596" spans="1:6" x14ac:dyDescent="0.2">
      <c r="A1596" t="s">
        <v>1470</v>
      </c>
      <c r="B1596" s="1">
        <v>1295947</v>
      </c>
      <c r="C1596" s="1">
        <v>2834</v>
      </c>
      <c r="D1596" s="2">
        <v>42507</v>
      </c>
      <c r="E1596" s="1" t="s">
        <v>18</v>
      </c>
      <c r="F1596" t="str">
        <f>HYPERLINK("http://www.sec.gov/Archives/edgar/data/1295947/0001295947-16-000051-index.html")</f>
        <v>http://www.sec.gov/Archives/edgar/data/1295947/0001295947-16-000051-index.html</v>
      </c>
    </row>
    <row r="1597" spans="1:6" x14ac:dyDescent="0.2">
      <c r="A1597" t="s">
        <v>1471</v>
      </c>
      <c r="B1597" s="1">
        <v>1321741</v>
      </c>
      <c r="C1597" s="1">
        <v>3841</v>
      </c>
      <c r="D1597" s="2">
        <v>42507</v>
      </c>
      <c r="E1597" s="1" t="s">
        <v>18</v>
      </c>
      <c r="F1597" t="str">
        <f>HYPERLINK("http://www.sec.gov/Archives/edgar/data/1321741/0001193125-16-593211-index.html")</f>
        <v>http://www.sec.gov/Archives/edgar/data/1321741/0001193125-16-593211-index.html</v>
      </c>
    </row>
    <row r="1598" spans="1:6" x14ac:dyDescent="0.2">
      <c r="A1598" t="s">
        <v>1472</v>
      </c>
      <c r="B1598" s="1">
        <v>1377936</v>
      </c>
      <c r="C1598" s="1">
        <v>1000</v>
      </c>
      <c r="D1598" s="2">
        <v>42507</v>
      </c>
      <c r="E1598" s="1" t="s">
        <v>18</v>
      </c>
      <c r="F1598" t="str">
        <f>HYPERLINK("http://www.sec.gov/Archives/edgar/data/1377936/0001193125-16-593198-index.html")</f>
        <v>http://www.sec.gov/Archives/edgar/data/1377936/0001193125-16-593198-index.html</v>
      </c>
    </row>
    <row r="1599" spans="1:6" x14ac:dyDescent="0.2">
      <c r="A1599" t="s">
        <v>1473</v>
      </c>
      <c r="B1599" s="1">
        <v>1409970</v>
      </c>
      <c r="C1599" s="1">
        <v>7389</v>
      </c>
      <c r="D1599" s="2">
        <v>42507</v>
      </c>
      <c r="E1599" s="1" t="s">
        <v>42</v>
      </c>
      <c r="F1599" t="str">
        <f>HYPERLINK("http://www.sec.gov/Archives/edgar/data/1409970/0001409970-16-002143-index.html")</f>
        <v>http://www.sec.gov/Archives/edgar/data/1409970/0001409970-16-002143-index.html</v>
      </c>
    </row>
    <row r="1600" spans="1:6" x14ac:dyDescent="0.2">
      <c r="A1600" t="s">
        <v>1107</v>
      </c>
      <c r="B1600" s="1">
        <v>1479014</v>
      </c>
      <c r="C1600" s="1">
        <v>5960</v>
      </c>
      <c r="D1600" s="2">
        <v>42507</v>
      </c>
      <c r="E1600" s="1" t="s">
        <v>18</v>
      </c>
      <c r="F1600" t="str">
        <f>HYPERLINK("http://www.sec.gov/Archives/edgar/data/1479014/0001010549-16-000615-index.html")</f>
        <v>http://www.sec.gov/Archives/edgar/data/1479014/0001010549-16-000615-index.html</v>
      </c>
    </row>
    <row r="1601" spans="1:6" x14ac:dyDescent="0.2">
      <c r="A1601" t="s">
        <v>745</v>
      </c>
      <c r="B1601" s="1">
        <v>1487843</v>
      </c>
      <c r="C1601" s="1">
        <v>6500</v>
      </c>
      <c r="D1601" s="2">
        <v>42507</v>
      </c>
      <c r="E1601" s="1" t="s">
        <v>42</v>
      </c>
      <c r="F1601" t="str">
        <f>HYPERLINK("http://www.sec.gov/Archives/edgar/data/1487843/0001213900-16-013493-index.html")</f>
        <v>http://www.sec.gov/Archives/edgar/data/1487843/0001213900-16-013493-index.html</v>
      </c>
    </row>
    <row r="1602" spans="1:6" x14ac:dyDescent="0.2">
      <c r="A1602" t="s">
        <v>1238</v>
      </c>
      <c r="B1602" s="1">
        <v>1490873</v>
      </c>
      <c r="C1602" s="1">
        <v>5900</v>
      </c>
      <c r="D1602" s="2">
        <v>42507</v>
      </c>
      <c r="E1602" s="1" t="s">
        <v>18</v>
      </c>
      <c r="F1602" t="str">
        <f>HYPERLINK("http://www.sec.gov/Archives/edgar/data/1490873/0001594062-16-000480-index.html")</f>
        <v>http://www.sec.gov/Archives/edgar/data/1490873/0001594062-16-000480-index.html</v>
      </c>
    </row>
    <row r="1603" spans="1:6" x14ac:dyDescent="0.2">
      <c r="A1603" t="s">
        <v>1474</v>
      </c>
      <c r="B1603" s="1">
        <v>1512886</v>
      </c>
      <c r="C1603" s="1">
        <v>2833</v>
      </c>
      <c r="D1603" s="2">
        <v>42507</v>
      </c>
      <c r="E1603" s="1" t="s">
        <v>18</v>
      </c>
      <c r="F1603" t="str">
        <f>HYPERLINK("http://www.sec.gov/Archives/edgar/data/1512886/0001161697-16-000846-index.html")</f>
        <v>http://www.sec.gov/Archives/edgar/data/1512886/0001161697-16-000846-index.html</v>
      </c>
    </row>
    <row r="1604" spans="1:6" x14ac:dyDescent="0.2">
      <c r="A1604" t="s">
        <v>1227</v>
      </c>
      <c r="B1604" s="1">
        <v>1561865</v>
      </c>
      <c r="C1604" s="1">
        <v>7389</v>
      </c>
      <c r="D1604" s="2">
        <v>42507</v>
      </c>
      <c r="E1604" s="1" t="s">
        <v>18</v>
      </c>
      <c r="F1604" t="str">
        <f>HYPERLINK("http://www.sec.gov/Archives/edgar/data/1561865/0001477932-16-010446-index.html")</f>
        <v>http://www.sec.gov/Archives/edgar/data/1561865/0001477932-16-010446-index.html</v>
      </c>
    </row>
    <row r="1605" spans="1:6" x14ac:dyDescent="0.2">
      <c r="A1605" t="s">
        <v>1475</v>
      </c>
      <c r="B1605" s="1">
        <v>1632053</v>
      </c>
      <c r="C1605" s="1">
        <v>1000</v>
      </c>
      <c r="D1605" s="2">
        <v>42507</v>
      </c>
      <c r="E1605" s="1" t="s">
        <v>18</v>
      </c>
      <c r="F1605" t="str">
        <f>HYPERLINK("http://www.sec.gov/Archives/edgar/data/1632053/0001594062-16-000478-index.html")</f>
        <v>http://www.sec.gov/Archives/edgar/data/1632053/0001594062-16-000478-index.html</v>
      </c>
    </row>
    <row r="1606" spans="1:6" x14ac:dyDescent="0.2">
      <c r="A1606" t="s">
        <v>1476</v>
      </c>
      <c r="B1606" s="1">
        <v>743988</v>
      </c>
      <c r="C1606" s="1">
        <v>3674</v>
      </c>
      <c r="D1606" s="2">
        <v>42507</v>
      </c>
      <c r="E1606" s="1" t="s">
        <v>18</v>
      </c>
      <c r="F1606" t="str">
        <f>HYPERLINK("http://www.sec.gov/Archives/edgar/data/743988/0000743988-16-000063-index.html")</f>
        <v>http://www.sec.gov/Archives/edgar/data/743988/0000743988-16-000063-index.html</v>
      </c>
    </row>
    <row r="1607" spans="1:6" x14ac:dyDescent="0.2">
      <c r="A1607" t="s">
        <v>1477</v>
      </c>
      <c r="B1607" s="1">
        <v>931059</v>
      </c>
      <c r="C1607" s="1">
        <v>7374</v>
      </c>
      <c r="D1607" s="2">
        <v>42507</v>
      </c>
      <c r="E1607" s="1" t="s">
        <v>42</v>
      </c>
      <c r="F1607" t="str">
        <f>HYPERLINK("http://www.sec.gov/Archives/edgar/data/931059/0001019687-16-006367-index.html")</f>
        <v>http://www.sec.gov/Archives/edgar/data/931059/0001019687-16-006367-index.html</v>
      </c>
    </row>
    <row r="1608" spans="1:6" x14ac:dyDescent="0.2">
      <c r="A1608" t="s">
        <v>1478</v>
      </c>
      <c r="B1608" s="1">
        <v>1099941</v>
      </c>
      <c r="C1608" s="1">
        <v>3842</v>
      </c>
      <c r="D1608" s="2">
        <v>42506</v>
      </c>
      <c r="E1608" s="1" t="s">
        <v>18</v>
      </c>
      <c r="F1608" t="str">
        <f>HYPERLINK("http://www.sec.gov/Archives/edgar/data/1099941/0001104659-16-121062-index.html")</f>
        <v>http://www.sec.gov/Archives/edgar/data/1099941/0001104659-16-121062-index.html</v>
      </c>
    </row>
    <row r="1609" spans="1:6" x14ac:dyDescent="0.2">
      <c r="A1609" t="s">
        <v>137</v>
      </c>
      <c r="B1609" s="1">
        <v>1102432</v>
      </c>
      <c r="C1609" s="1">
        <v>7900</v>
      </c>
      <c r="D1609" s="2">
        <v>42506</v>
      </c>
      <c r="E1609" s="1" t="s">
        <v>42</v>
      </c>
      <c r="F1609" t="str">
        <f>HYPERLINK("http://www.sec.gov/Archives/edgar/data/1102432/0001477932-16-010375-index.html")</f>
        <v>http://www.sec.gov/Archives/edgar/data/1102432/0001477932-16-010375-index.html</v>
      </c>
    </row>
    <row r="1610" spans="1:6" x14ac:dyDescent="0.2">
      <c r="A1610" t="s">
        <v>1479</v>
      </c>
      <c r="B1610" s="1">
        <v>1424812</v>
      </c>
      <c r="C1610" s="1">
        <v>2834</v>
      </c>
      <c r="D1610" s="2">
        <v>42506</v>
      </c>
      <c r="E1610" s="1" t="s">
        <v>18</v>
      </c>
      <c r="F1610" t="str">
        <f>HYPERLINK("http://www.sec.gov/Archives/edgar/data/1424812/0001213900-16-013437-index.html")</f>
        <v>http://www.sec.gov/Archives/edgar/data/1424812/0001213900-16-013437-index.html</v>
      </c>
    </row>
    <row r="1611" spans="1:6" x14ac:dyDescent="0.2">
      <c r="A1611" t="s">
        <v>1480</v>
      </c>
      <c r="B1611" s="1">
        <v>1559356</v>
      </c>
      <c r="C1611" s="1">
        <v>2834</v>
      </c>
      <c r="D1611" s="2">
        <v>42506</v>
      </c>
      <c r="E1611" s="1" t="s">
        <v>42</v>
      </c>
      <c r="F1611" t="str">
        <f>HYPERLINK("http://www.sec.gov/Archives/edgar/data/1559356/0001493152-16-009861-index.html")</f>
        <v>http://www.sec.gov/Archives/edgar/data/1559356/0001493152-16-009861-index.html</v>
      </c>
    </row>
    <row r="1612" spans="1:6" x14ac:dyDescent="0.2">
      <c r="A1612" t="s">
        <v>1481</v>
      </c>
      <c r="B1612" s="1">
        <v>6732</v>
      </c>
      <c r="C1612" s="1">
        <v>3560</v>
      </c>
      <c r="D1612" s="2">
        <v>42506</v>
      </c>
      <c r="E1612" s="1" t="s">
        <v>18</v>
      </c>
      <c r="F1612" t="str">
        <f>HYPERLINK("http://www.sec.gov/Archives/edgar/data/6732/0001213900-16-013480-index.html")</f>
        <v>http://www.sec.gov/Archives/edgar/data/6732/0001213900-16-013480-index.html</v>
      </c>
    </row>
    <row r="1613" spans="1:6" x14ac:dyDescent="0.2">
      <c r="A1613" t="s">
        <v>1482</v>
      </c>
      <c r="B1613" s="1">
        <v>807707</v>
      </c>
      <c r="C1613" s="1">
        <v>5065</v>
      </c>
      <c r="D1613" s="2">
        <v>42506</v>
      </c>
      <c r="E1613" s="1" t="s">
        <v>18</v>
      </c>
      <c r="F1613" t="str">
        <f>HYPERLINK("http://www.sec.gov/Archives/edgar/data/807707/0000807707-16-000051-index.html")</f>
        <v>http://www.sec.gov/Archives/edgar/data/807707/0000807707-16-000051-index.html</v>
      </c>
    </row>
    <row r="1614" spans="1:6" x14ac:dyDescent="0.2">
      <c r="A1614" t="s">
        <v>1483</v>
      </c>
      <c r="B1614" s="1">
        <v>914025</v>
      </c>
      <c r="C1614" s="1">
        <v>3661</v>
      </c>
      <c r="D1614" s="2">
        <v>42506</v>
      </c>
      <c r="E1614" s="1" t="s">
        <v>18</v>
      </c>
      <c r="F1614" t="str">
        <f>HYPERLINK("http://www.sec.gov/Archives/edgar/data/914025/0000914025-16-000070-index.html")</f>
        <v>http://www.sec.gov/Archives/edgar/data/914025/0000914025-16-000070-index.html</v>
      </c>
    </row>
    <row r="1615" spans="1:6" x14ac:dyDescent="0.2">
      <c r="A1615" t="s">
        <v>1484</v>
      </c>
      <c r="B1615" s="1">
        <v>1017110</v>
      </c>
      <c r="C1615" s="1">
        <v>2836</v>
      </c>
      <c r="D1615" s="2">
        <v>42503</v>
      </c>
      <c r="E1615" s="1" t="s">
        <v>18</v>
      </c>
      <c r="F1615" t="str">
        <f>HYPERLINK("http://www.sec.gov/Archives/edgar/data/1017110/0001017110-16-000028-index.html")</f>
        <v>http://www.sec.gov/Archives/edgar/data/1017110/0001017110-16-000028-index.html</v>
      </c>
    </row>
    <row r="1616" spans="1:6" x14ac:dyDescent="0.2">
      <c r="A1616" t="s">
        <v>1485</v>
      </c>
      <c r="B1616" s="1">
        <v>1037131</v>
      </c>
      <c r="C1616" s="1">
        <v>4841</v>
      </c>
      <c r="D1616" s="2">
        <v>42503</v>
      </c>
      <c r="E1616" s="1" t="s">
        <v>18</v>
      </c>
      <c r="F1616" t="str">
        <f>HYPERLINK("http://www.sec.gov/Archives/edgar/data/1037131/0001493152-16-009742-index.html")</f>
        <v>http://www.sec.gov/Archives/edgar/data/1037131/0001493152-16-009742-index.html</v>
      </c>
    </row>
    <row r="1617" spans="1:6" x14ac:dyDescent="0.2">
      <c r="A1617" t="s">
        <v>1486</v>
      </c>
      <c r="B1617" s="1">
        <v>1060409</v>
      </c>
      <c r="C1617" s="1">
        <v>3695</v>
      </c>
      <c r="D1617" s="2">
        <v>42503</v>
      </c>
      <c r="E1617" s="1" t="s">
        <v>18</v>
      </c>
      <c r="F1617" t="str">
        <f>HYPERLINK("http://www.sec.gov/Archives/edgar/data/1060409/0001211524-16-000215-index.html")</f>
        <v>http://www.sec.gov/Archives/edgar/data/1060409/0001211524-16-000215-index.html</v>
      </c>
    </row>
    <row r="1618" spans="1:6" x14ac:dyDescent="0.2">
      <c r="A1618" t="s">
        <v>936</v>
      </c>
      <c r="B1618" s="1">
        <v>1093248</v>
      </c>
      <c r="C1618" s="1">
        <v>3730</v>
      </c>
      <c r="D1618" s="2">
        <v>42503</v>
      </c>
      <c r="E1618" s="1" t="s">
        <v>18</v>
      </c>
      <c r="F1618" t="str">
        <f>HYPERLINK("http://www.sec.gov/Archives/edgar/data/1093248/0001065949-16-000394-index.html")</f>
        <v>http://www.sec.gov/Archives/edgar/data/1093248/0001065949-16-000394-index.html</v>
      </c>
    </row>
    <row r="1619" spans="1:6" x14ac:dyDescent="0.2">
      <c r="A1619" t="s">
        <v>1487</v>
      </c>
      <c r="B1619" s="1">
        <v>1096938</v>
      </c>
      <c r="C1619" s="1">
        <v>3842</v>
      </c>
      <c r="D1619" s="2">
        <v>42503</v>
      </c>
      <c r="E1619" s="1" t="s">
        <v>18</v>
      </c>
      <c r="F1619" t="str">
        <f>HYPERLINK("http://www.sec.gov/Archives/edgar/data/1096938/0001477932-16-010265-index.html")</f>
        <v>http://www.sec.gov/Archives/edgar/data/1096938/0001477932-16-010265-index.html</v>
      </c>
    </row>
    <row r="1620" spans="1:6" x14ac:dyDescent="0.2">
      <c r="A1620" t="s">
        <v>1488</v>
      </c>
      <c r="B1620" s="1">
        <v>1562738</v>
      </c>
      <c r="C1620" s="1">
        <v>700</v>
      </c>
      <c r="D1620" s="2">
        <v>42503</v>
      </c>
      <c r="E1620" s="1" t="s">
        <v>18</v>
      </c>
      <c r="F1620" t="str">
        <f>HYPERLINK("http://www.sec.gov/Archives/edgar/data/1562738/0001019687-16-006234-index.html")</f>
        <v>http://www.sec.gov/Archives/edgar/data/1562738/0001019687-16-006234-index.html</v>
      </c>
    </row>
    <row r="1621" spans="1:6" x14ac:dyDescent="0.2">
      <c r="A1621" t="s">
        <v>1489</v>
      </c>
      <c r="B1621" s="1">
        <v>1572384</v>
      </c>
      <c r="C1621" s="1">
        <v>7990</v>
      </c>
      <c r="D1621" s="2">
        <v>42503</v>
      </c>
      <c r="E1621" s="1" t="s">
        <v>18</v>
      </c>
      <c r="F1621" t="str">
        <f>HYPERLINK("http://www.sec.gov/Archives/edgar/data/1572384/0001640334-16-001065-index.html")</f>
        <v>http://www.sec.gov/Archives/edgar/data/1572384/0001640334-16-001065-index.html</v>
      </c>
    </row>
    <row r="1622" spans="1:6" x14ac:dyDescent="0.2">
      <c r="A1622" t="s">
        <v>1490</v>
      </c>
      <c r="B1622" s="1">
        <v>1598323</v>
      </c>
      <c r="C1622" s="1">
        <v>4700</v>
      </c>
      <c r="D1622" s="2">
        <v>42503</v>
      </c>
      <c r="E1622" s="1" t="s">
        <v>18</v>
      </c>
      <c r="F1622" t="str">
        <f>HYPERLINK("http://www.sec.gov/Archives/edgar/data/1598323/0001640334-16-001067-index.html")</f>
        <v>http://www.sec.gov/Archives/edgar/data/1598323/0001640334-16-001067-index.html</v>
      </c>
    </row>
    <row r="1623" spans="1:6" x14ac:dyDescent="0.2">
      <c r="A1623" t="s">
        <v>1491</v>
      </c>
      <c r="B1623" s="1">
        <v>704440</v>
      </c>
      <c r="C1623" s="1">
        <v>3841</v>
      </c>
      <c r="D1623" s="2">
        <v>42503</v>
      </c>
      <c r="E1623" s="1" t="s">
        <v>18</v>
      </c>
      <c r="F1623" t="str">
        <f>HYPERLINK("http://www.sec.gov/Archives/edgar/data/704440/0001161697-16-000829-index.html")</f>
        <v>http://www.sec.gov/Archives/edgar/data/704440/0001161697-16-000829-index.html</v>
      </c>
    </row>
    <row r="1624" spans="1:6" x14ac:dyDescent="0.2">
      <c r="A1624" t="s">
        <v>1492</v>
      </c>
      <c r="B1624" s="1">
        <v>76267</v>
      </c>
      <c r="C1624" s="1">
        <v>3672</v>
      </c>
      <c r="D1624" s="2">
        <v>42503</v>
      </c>
      <c r="E1624" s="1" t="s">
        <v>18</v>
      </c>
      <c r="F1624" t="str">
        <f>HYPERLINK("http://www.sec.gov/Archives/edgar/data/76267/0001437749-16-031799-index.html")</f>
        <v>http://www.sec.gov/Archives/edgar/data/76267/0001437749-16-031799-index.html</v>
      </c>
    </row>
    <row r="1625" spans="1:6" x14ac:dyDescent="0.2">
      <c r="A1625" t="s">
        <v>1493</v>
      </c>
      <c r="B1625" s="1">
        <v>812074</v>
      </c>
      <c r="C1625" s="1">
        <v>3221</v>
      </c>
      <c r="D1625" s="2">
        <v>42503</v>
      </c>
      <c r="E1625" s="1" t="s">
        <v>42</v>
      </c>
      <c r="F1625" t="str">
        <f>HYPERLINK("http://www.sec.gov/Archives/edgar/data/812074/0001558370-16-005950-index.html")</f>
        <v>http://www.sec.gov/Archives/edgar/data/812074/0001558370-16-005950-index.html</v>
      </c>
    </row>
    <row r="1626" spans="1:6" x14ac:dyDescent="0.2">
      <c r="A1626" t="s">
        <v>1494</v>
      </c>
      <c r="B1626" s="1">
        <v>1373846</v>
      </c>
      <c r="C1626" s="1">
        <v>5960</v>
      </c>
      <c r="D1626" s="2">
        <v>42502</v>
      </c>
      <c r="E1626" s="1" t="s">
        <v>18</v>
      </c>
      <c r="F1626" t="str">
        <f>HYPERLINK("http://www.sec.gov/Archives/edgar/data/1373846/0001144204-16-101161-index.html")</f>
        <v>http://www.sec.gov/Archives/edgar/data/1373846/0001144204-16-101161-index.html</v>
      </c>
    </row>
    <row r="1627" spans="1:6" x14ac:dyDescent="0.2">
      <c r="A1627" t="s">
        <v>1423</v>
      </c>
      <c r="B1627" s="1">
        <v>1424549</v>
      </c>
      <c r="C1627" s="1">
        <v>5900</v>
      </c>
      <c r="D1627" s="2">
        <v>42502</v>
      </c>
      <c r="E1627" s="1" t="s">
        <v>42</v>
      </c>
      <c r="F1627" t="str">
        <f>HYPERLINK("http://www.sec.gov/Archives/edgar/data/1424549/0001561661-16-000031-index.html")</f>
        <v>http://www.sec.gov/Archives/edgar/data/1424549/0001561661-16-000031-index.html</v>
      </c>
    </row>
    <row r="1628" spans="1:6" x14ac:dyDescent="0.2">
      <c r="A1628" t="s">
        <v>1423</v>
      </c>
      <c r="B1628" s="1">
        <v>1424549</v>
      </c>
      <c r="C1628" s="1">
        <v>5900</v>
      </c>
      <c r="D1628" s="2">
        <v>42502</v>
      </c>
      <c r="E1628" s="1" t="s">
        <v>42</v>
      </c>
      <c r="F1628" t="str">
        <f>HYPERLINK("http://www.sec.gov/Archives/edgar/data/1424549/0001561661-16-000032-index.html")</f>
        <v>http://www.sec.gov/Archives/edgar/data/1424549/0001561661-16-000032-index.html</v>
      </c>
    </row>
    <row r="1629" spans="1:6" x14ac:dyDescent="0.2">
      <c r="A1629" t="s">
        <v>1495</v>
      </c>
      <c r="B1629" s="1">
        <v>1658433</v>
      </c>
      <c r="C1629" s="1">
        <v>7372</v>
      </c>
      <c r="D1629" s="2">
        <v>42502</v>
      </c>
      <c r="E1629" s="1" t="s">
        <v>18</v>
      </c>
      <c r="F1629" t="str">
        <f>HYPERLINK("http://www.sec.gov/Archives/edgar/data/1658433/0001594062-16-000463-index.html")</f>
        <v>http://www.sec.gov/Archives/edgar/data/1658433/0001594062-16-000463-index.html</v>
      </c>
    </row>
    <row r="1630" spans="1:6" x14ac:dyDescent="0.2">
      <c r="A1630" t="s">
        <v>1496</v>
      </c>
      <c r="B1630" s="1">
        <v>356028</v>
      </c>
      <c r="C1630" s="1">
        <v>7372</v>
      </c>
      <c r="D1630" s="2">
        <v>42502</v>
      </c>
      <c r="E1630" s="1" t="s">
        <v>18</v>
      </c>
      <c r="F1630" t="str">
        <f>HYPERLINK("http://www.sec.gov/Archives/edgar/data/356028/0000356028-16-000254-index.html")</f>
        <v>http://www.sec.gov/Archives/edgar/data/356028/0000356028-16-000254-index.html</v>
      </c>
    </row>
    <row r="1631" spans="1:6" x14ac:dyDescent="0.2">
      <c r="A1631" t="s">
        <v>1497</v>
      </c>
      <c r="B1631" s="1">
        <v>48732</v>
      </c>
      <c r="C1631" s="1">
        <v>4911</v>
      </c>
      <c r="D1631" s="2">
        <v>42502</v>
      </c>
      <c r="E1631" s="1" t="s">
        <v>42</v>
      </c>
      <c r="F1631" t="str">
        <f>HYPERLINK("http://www.sec.gov/Archives/edgar/data/48732/0000048732-16-000031-index.html")</f>
        <v>http://www.sec.gov/Archives/edgar/data/48732/0000048732-16-000031-index.html</v>
      </c>
    </row>
    <row r="1632" spans="1:6" x14ac:dyDescent="0.2">
      <c r="A1632" t="s">
        <v>1498</v>
      </c>
      <c r="B1632" s="1">
        <v>849547</v>
      </c>
      <c r="C1632" s="1">
        <v>3576</v>
      </c>
      <c r="D1632" s="2">
        <v>42502</v>
      </c>
      <c r="E1632" s="1" t="s">
        <v>18</v>
      </c>
      <c r="F1632" t="str">
        <f>HYPERLINK("http://www.sec.gov/Archives/edgar/data/849547/0000849547-16-000111-index.html")</f>
        <v>http://www.sec.gov/Archives/edgar/data/849547/0000849547-16-000111-index.html</v>
      </c>
    </row>
    <row r="1633" spans="1:6" x14ac:dyDescent="0.2">
      <c r="A1633" t="s">
        <v>1499</v>
      </c>
      <c r="B1633" s="1">
        <v>1518336</v>
      </c>
      <c r="C1633" s="1">
        <v>8200</v>
      </c>
      <c r="D1633" s="2">
        <v>42501</v>
      </c>
      <c r="E1633" s="1" t="s">
        <v>18</v>
      </c>
      <c r="F1633" t="str">
        <f>HYPERLINK("http://www.sec.gov/Archives/edgar/data/1518336/0001493152-16-009618-index.html")</f>
        <v>http://www.sec.gov/Archives/edgar/data/1518336/0001493152-16-009618-index.html</v>
      </c>
    </row>
    <row r="1634" spans="1:6" x14ac:dyDescent="0.2">
      <c r="A1634" t="s">
        <v>1500</v>
      </c>
      <c r="B1634" s="1">
        <v>33002</v>
      </c>
      <c r="C1634" s="1">
        <v>2761</v>
      </c>
      <c r="D1634" s="2">
        <v>42501</v>
      </c>
      <c r="E1634" s="1" t="s">
        <v>18</v>
      </c>
      <c r="F1634" t="str">
        <f>HYPERLINK("http://www.sec.gov/Archives/edgar/data/33002/0001193125-16-587329-index.html")</f>
        <v>http://www.sec.gov/Archives/edgar/data/33002/0001193125-16-587329-index.html</v>
      </c>
    </row>
    <row r="1635" spans="1:6" x14ac:dyDescent="0.2">
      <c r="A1635" t="s">
        <v>1501</v>
      </c>
      <c r="B1635" s="1">
        <v>874501</v>
      </c>
      <c r="C1635" s="1">
        <v>6351</v>
      </c>
      <c r="D1635" s="2">
        <v>42501</v>
      </c>
      <c r="E1635" s="1" t="s">
        <v>42</v>
      </c>
      <c r="F1635" t="str">
        <f>HYPERLINK("http://www.sec.gov/Archives/edgar/data/874501/0000874501-16-000231-index.html")</f>
        <v>http://www.sec.gov/Archives/edgar/data/874501/0000874501-16-000231-index.html</v>
      </c>
    </row>
    <row r="1636" spans="1:6" x14ac:dyDescent="0.2">
      <c r="A1636" t="s">
        <v>1502</v>
      </c>
      <c r="B1636" s="1">
        <v>1304280</v>
      </c>
      <c r="C1636" s="1">
        <v>3350</v>
      </c>
      <c r="D1636" s="2">
        <v>42500</v>
      </c>
      <c r="E1636" s="1" t="s">
        <v>18</v>
      </c>
      <c r="F1636" t="str">
        <f>HYPERLINK("http://www.sec.gov/Archives/edgar/data/1304280/0001304280-16-000077-index.html")</f>
        <v>http://www.sec.gov/Archives/edgar/data/1304280/0001304280-16-000077-index.html</v>
      </c>
    </row>
    <row r="1637" spans="1:6" x14ac:dyDescent="0.2">
      <c r="A1637" t="s">
        <v>1503</v>
      </c>
      <c r="B1637" s="1">
        <v>1411688</v>
      </c>
      <c r="C1637" s="1">
        <v>5700</v>
      </c>
      <c r="D1637" s="2">
        <v>42500</v>
      </c>
      <c r="E1637" s="1" t="s">
        <v>18</v>
      </c>
      <c r="F1637" t="str">
        <f>HYPERLINK("http://www.sec.gov/Archives/edgar/data/1411688/0001047469-16-013070-index.html")</f>
        <v>http://www.sec.gov/Archives/edgar/data/1411688/0001047469-16-013070-index.html</v>
      </c>
    </row>
    <row r="1638" spans="1:6" x14ac:dyDescent="0.2">
      <c r="A1638" t="s">
        <v>1504</v>
      </c>
      <c r="B1638" s="1">
        <v>1538495</v>
      </c>
      <c r="C1638" s="1">
        <v>8742</v>
      </c>
      <c r="D1638" s="2">
        <v>42500</v>
      </c>
      <c r="E1638" s="1" t="s">
        <v>42</v>
      </c>
      <c r="F1638" t="str">
        <f>HYPERLINK("http://www.sec.gov/Archives/edgar/data/1538495/0001398344-16-013121-index.html")</f>
        <v>http://www.sec.gov/Archives/edgar/data/1538495/0001398344-16-013121-index.html</v>
      </c>
    </row>
    <row r="1639" spans="1:6" x14ac:dyDescent="0.2">
      <c r="A1639" t="s">
        <v>1505</v>
      </c>
      <c r="B1639" s="1">
        <v>1616495</v>
      </c>
      <c r="C1639" s="1">
        <v>3841</v>
      </c>
      <c r="D1639" s="2">
        <v>42500</v>
      </c>
      <c r="E1639" s="1" t="s">
        <v>42</v>
      </c>
      <c r="F1639" t="str">
        <f>HYPERLINK("http://www.sec.gov/Archives/edgar/data/1616495/0001511164-16-000808-index.html")</f>
        <v>http://www.sec.gov/Archives/edgar/data/1616495/0001511164-16-000808-index.html</v>
      </c>
    </row>
    <row r="1640" spans="1:6" x14ac:dyDescent="0.2">
      <c r="A1640" t="s">
        <v>1506</v>
      </c>
      <c r="B1640" s="1">
        <v>3116</v>
      </c>
      <c r="C1640" s="1">
        <v>2834</v>
      </c>
      <c r="D1640" s="2">
        <v>42500</v>
      </c>
      <c r="E1640" s="1" t="s">
        <v>18</v>
      </c>
      <c r="F1640" t="str">
        <f>HYPERLINK("http://www.sec.gov/Archives/edgar/data/3116/0001104659-16-119447-index.html")</f>
        <v>http://www.sec.gov/Archives/edgar/data/3116/0001104659-16-119447-index.html</v>
      </c>
    </row>
    <row r="1641" spans="1:6" x14ac:dyDescent="0.2">
      <c r="A1641" t="s">
        <v>1507</v>
      </c>
      <c r="B1641" s="1">
        <v>799235</v>
      </c>
      <c r="C1641" s="1">
        <v>1389</v>
      </c>
      <c r="D1641" s="2">
        <v>42500</v>
      </c>
      <c r="E1641" s="1" t="s">
        <v>42</v>
      </c>
      <c r="F1641" t="str">
        <f>HYPERLINK("http://www.sec.gov/Archives/edgar/data/799235/0001140361-16-064293-index.html")</f>
        <v>http://www.sec.gov/Archives/edgar/data/799235/0001140361-16-064293-index.html</v>
      </c>
    </row>
    <row r="1642" spans="1:6" x14ac:dyDescent="0.2">
      <c r="A1642" t="s">
        <v>1508</v>
      </c>
      <c r="B1642" s="1">
        <v>804212</v>
      </c>
      <c r="C1642" s="1">
        <v>5084</v>
      </c>
      <c r="D1642" s="2">
        <v>42500</v>
      </c>
      <c r="E1642" s="1" t="s">
        <v>18</v>
      </c>
      <c r="F1642" t="str">
        <f>HYPERLINK("http://www.sec.gov/Archives/edgar/data/804212/0000804212-16-000048-index.html")</f>
        <v>http://www.sec.gov/Archives/edgar/data/804212/0000804212-16-000048-index.html</v>
      </c>
    </row>
    <row r="1643" spans="1:6" x14ac:dyDescent="0.2">
      <c r="A1643" t="s">
        <v>1509</v>
      </c>
      <c r="B1643" s="1">
        <v>820901</v>
      </c>
      <c r="C1643" s="1">
        <v>1311</v>
      </c>
      <c r="D1643" s="2">
        <v>42500</v>
      </c>
      <c r="E1643" s="1" t="s">
        <v>18</v>
      </c>
      <c r="F1643" t="str">
        <f>HYPERLINK("http://www.sec.gov/Archives/edgar/data/820901/0001079973-16-000949-index.html")</f>
        <v>http://www.sec.gov/Archives/edgar/data/820901/0001079973-16-000949-index.html</v>
      </c>
    </row>
    <row r="1644" spans="1:6" x14ac:dyDescent="0.2">
      <c r="A1644" t="s">
        <v>226</v>
      </c>
      <c r="B1644" s="1">
        <v>924717</v>
      </c>
      <c r="C1644" s="1">
        <v>3841</v>
      </c>
      <c r="D1644" s="2">
        <v>42500</v>
      </c>
      <c r="E1644" s="1" t="s">
        <v>42</v>
      </c>
      <c r="F1644" t="str">
        <f>HYPERLINK("http://www.sec.gov/Archives/edgar/data/924717/0001564590-16-018795-index.html")</f>
        <v>http://www.sec.gov/Archives/edgar/data/924717/0001564590-16-018795-index.html</v>
      </c>
    </row>
    <row r="1645" spans="1:6" x14ac:dyDescent="0.2">
      <c r="A1645" t="s">
        <v>1510</v>
      </c>
      <c r="B1645" s="1">
        <v>1009925</v>
      </c>
      <c r="C1645" s="1">
        <v>3290</v>
      </c>
      <c r="D1645" s="2">
        <v>42499</v>
      </c>
      <c r="E1645" s="1" t="s">
        <v>18</v>
      </c>
      <c r="F1645" t="str">
        <f>HYPERLINK("http://www.sec.gov/Archives/edgar/data/1009925/0001477932-16-010123-index.html")</f>
        <v>http://www.sec.gov/Archives/edgar/data/1009925/0001477932-16-010123-index.html</v>
      </c>
    </row>
    <row r="1646" spans="1:6" x14ac:dyDescent="0.2">
      <c r="A1646" t="s">
        <v>1303</v>
      </c>
      <c r="B1646" s="1">
        <v>1024626</v>
      </c>
      <c r="C1646" s="1">
        <v>2834</v>
      </c>
      <c r="D1646" s="2">
        <v>42499</v>
      </c>
      <c r="E1646" s="1" t="s">
        <v>18</v>
      </c>
      <c r="F1646" t="str">
        <f>HYPERLINK("http://www.sec.gov/Archives/edgar/data/1024626/0001517126-16-000323-index.html")</f>
        <v>http://www.sec.gov/Archives/edgar/data/1024626/0001517126-16-000323-index.html</v>
      </c>
    </row>
    <row r="1647" spans="1:6" x14ac:dyDescent="0.2">
      <c r="A1647" t="s">
        <v>1511</v>
      </c>
      <c r="B1647" s="1">
        <v>1096275</v>
      </c>
      <c r="C1647" s="1">
        <v>7389</v>
      </c>
      <c r="D1647" s="2">
        <v>42499</v>
      </c>
      <c r="E1647" s="1" t="s">
        <v>18</v>
      </c>
      <c r="F1647" t="str">
        <f>HYPERLINK("http://www.sec.gov/Archives/edgar/data/1096275/0001477932-16-010130-index.html")</f>
        <v>http://www.sec.gov/Archives/edgar/data/1096275/0001477932-16-010130-index.html</v>
      </c>
    </row>
    <row r="1648" spans="1:6" x14ac:dyDescent="0.2">
      <c r="A1648" t="s">
        <v>1512</v>
      </c>
      <c r="B1648" s="1">
        <v>1128353</v>
      </c>
      <c r="C1648" s="1">
        <v>2890</v>
      </c>
      <c r="D1648" s="2">
        <v>42499</v>
      </c>
      <c r="E1648" s="1" t="s">
        <v>18</v>
      </c>
      <c r="F1648" t="str">
        <f>HYPERLINK("http://www.sec.gov/Archives/edgar/data/1128353/0001477932-16-010121-index.html")</f>
        <v>http://www.sec.gov/Archives/edgar/data/1128353/0001477932-16-010121-index.html</v>
      </c>
    </row>
    <row r="1649" spans="1:6" x14ac:dyDescent="0.2">
      <c r="A1649" t="s">
        <v>1513</v>
      </c>
      <c r="B1649" s="1">
        <v>1138724</v>
      </c>
      <c r="C1649" s="1">
        <v>6211</v>
      </c>
      <c r="D1649" s="2">
        <v>42499</v>
      </c>
      <c r="E1649" s="1" t="s">
        <v>18</v>
      </c>
      <c r="F1649" t="str">
        <f>HYPERLINK("http://www.sec.gov/Archives/edgar/data/1138724/0001014897-16-000552-index.html")</f>
        <v>http://www.sec.gov/Archives/edgar/data/1138724/0001014897-16-000552-index.html</v>
      </c>
    </row>
    <row r="1650" spans="1:6" x14ac:dyDescent="0.2">
      <c r="A1650" t="s">
        <v>423</v>
      </c>
      <c r="B1650" s="1">
        <v>1429393</v>
      </c>
      <c r="C1650" s="1">
        <v>3630</v>
      </c>
      <c r="D1650" s="2">
        <v>42499</v>
      </c>
      <c r="E1650" s="1" t="s">
        <v>18</v>
      </c>
      <c r="F1650" t="str">
        <f>HYPERLINK("http://www.sec.gov/Archives/edgar/data/1429393/0001077048-16-000091-index.html")</f>
        <v>http://www.sec.gov/Archives/edgar/data/1429393/0001077048-16-000091-index.html</v>
      </c>
    </row>
    <row r="1651" spans="1:6" x14ac:dyDescent="0.2">
      <c r="A1651" t="s">
        <v>448</v>
      </c>
      <c r="B1651" s="1">
        <v>99771</v>
      </c>
      <c r="C1651" s="1">
        <v>6021</v>
      </c>
      <c r="D1651" s="2">
        <v>42499</v>
      </c>
      <c r="E1651" s="1" t="s">
        <v>18</v>
      </c>
      <c r="F1651" t="str">
        <f>HYPERLINK("http://www.sec.gov/Archives/edgar/data/99771/0001140361-16-064109-index.html")</f>
        <v>http://www.sec.gov/Archives/edgar/data/99771/0001140361-16-064109-index.html</v>
      </c>
    </row>
    <row r="1652" spans="1:6" x14ac:dyDescent="0.2">
      <c r="A1652" t="s">
        <v>1514</v>
      </c>
      <c r="B1652" s="1">
        <v>1169561</v>
      </c>
      <c r="C1652" s="1">
        <v>7372</v>
      </c>
      <c r="D1652" s="2">
        <v>42496</v>
      </c>
      <c r="E1652" s="1" t="s">
        <v>18</v>
      </c>
      <c r="F1652" t="str">
        <f>HYPERLINK("http://www.sec.gov/Archives/edgar/data/1169561/0001169561-16-000029-index.html")</f>
        <v>http://www.sec.gov/Archives/edgar/data/1169561/0001169561-16-000029-index.html</v>
      </c>
    </row>
    <row r="1653" spans="1:6" x14ac:dyDescent="0.2">
      <c r="A1653" t="s">
        <v>1515</v>
      </c>
      <c r="B1653" s="1">
        <v>1334586</v>
      </c>
      <c r="C1653" s="1">
        <v>2090</v>
      </c>
      <c r="D1653" s="2">
        <v>42496</v>
      </c>
      <c r="E1653" s="1" t="s">
        <v>18</v>
      </c>
      <c r="F1653" t="str">
        <f>HYPERLINK("http://www.sec.gov/Archives/edgar/data/1334586/0001580695-16-000407-index.html")</f>
        <v>http://www.sec.gov/Archives/edgar/data/1334586/0001580695-16-000407-index.html</v>
      </c>
    </row>
    <row r="1654" spans="1:6" x14ac:dyDescent="0.2">
      <c r="A1654" t="s">
        <v>1516</v>
      </c>
      <c r="B1654" s="1">
        <v>1335190</v>
      </c>
      <c r="C1654" s="1">
        <v>1311</v>
      </c>
      <c r="D1654" s="2">
        <v>42496</v>
      </c>
      <c r="E1654" s="1" t="s">
        <v>18</v>
      </c>
      <c r="F1654" t="str">
        <f>HYPERLINK("http://www.sec.gov/Archives/edgar/data/1335190/0001335190-16-000129-index.html")</f>
        <v>http://www.sec.gov/Archives/edgar/data/1335190/0001335190-16-000129-index.html</v>
      </c>
    </row>
    <row r="1655" spans="1:6" x14ac:dyDescent="0.2">
      <c r="A1655" t="s">
        <v>1517</v>
      </c>
      <c r="B1655" s="1">
        <v>1360442</v>
      </c>
      <c r="C1655" s="1">
        <v>7200</v>
      </c>
      <c r="D1655" s="2">
        <v>42496</v>
      </c>
      <c r="E1655" s="1" t="s">
        <v>18</v>
      </c>
      <c r="F1655" t="str">
        <f>HYPERLINK("http://www.sec.gov/Archives/edgar/data/1360442/0001445866-16-002028-index.html")</f>
        <v>http://www.sec.gov/Archives/edgar/data/1360442/0001445866-16-002028-index.html</v>
      </c>
    </row>
    <row r="1656" spans="1:6" x14ac:dyDescent="0.2">
      <c r="A1656" t="s">
        <v>1518</v>
      </c>
      <c r="B1656" s="1">
        <v>1408057</v>
      </c>
      <c r="C1656" s="1">
        <v>7372</v>
      </c>
      <c r="D1656" s="2">
        <v>42496</v>
      </c>
      <c r="E1656" s="1" t="s">
        <v>42</v>
      </c>
      <c r="F1656" t="str">
        <f>HYPERLINK("http://www.sec.gov/Archives/edgar/data/1408057/0001354488-16-007257-index.html")</f>
        <v>http://www.sec.gov/Archives/edgar/data/1408057/0001354488-16-007257-index.html</v>
      </c>
    </row>
    <row r="1657" spans="1:6" x14ac:dyDescent="0.2">
      <c r="A1657" t="s">
        <v>1519</v>
      </c>
      <c r="B1657" s="1">
        <v>1416697</v>
      </c>
      <c r="C1657" s="1">
        <v>5900</v>
      </c>
      <c r="D1657" s="2">
        <v>42496</v>
      </c>
      <c r="E1657" s="1" t="s">
        <v>42</v>
      </c>
      <c r="F1657" t="str">
        <f>HYPERLINK("http://www.sec.gov/Archives/edgar/data/1416697/0001127855-16-000626-index.html")</f>
        <v>http://www.sec.gov/Archives/edgar/data/1416697/0001127855-16-000626-index.html</v>
      </c>
    </row>
    <row r="1658" spans="1:6" x14ac:dyDescent="0.2">
      <c r="A1658" t="s">
        <v>1520</v>
      </c>
      <c r="B1658" s="1">
        <v>1559172</v>
      </c>
      <c r="C1658" s="1">
        <v>8200</v>
      </c>
      <c r="D1658" s="2">
        <v>42496</v>
      </c>
      <c r="E1658" s="1" t="s">
        <v>42</v>
      </c>
      <c r="F1658" t="str">
        <f>HYPERLINK("http://www.sec.gov/Archives/edgar/data/1559172/0001493152-16-009504-index.html")</f>
        <v>http://www.sec.gov/Archives/edgar/data/1559172/0001493152-16-009504-index.html</v>
      </c>
    </row>
    <row r="1659" spans="1:6" x14ac:dyDescent="0.2">
      <c r="A1659" t="s">
        <v>1521</v>
      </c>
      <c r="B1659" s="1">
        <v>1120295</v>
      </c>
      <c r="C1659" s="1">
        <v>3825</v>
      </c>
      <c r="D1659" s="2">
        <v>42495</v>
      </c>
      <c r="E1659" s="1" t="s">
        <v>42</v>
      </c>
      <c r="F1659" t="str">
        <f>HYPERLINK("http://www.sec.gov/Archives/edgar/data/1120295/0001193125-16-580157-index.html")</f>
        <v>http://www.sec.gov/Archives/edgar/data/1120295/0001193125-16-580157-index.html</v>
      </c>
    </row>
    <row r="1660" spans="1:6" x14ac:dyDescent="0.2">
      <c r="A1660" t="s">
        <v>1522</v>
      </c>
      <c r="B1660" s="1">
        <v>1389415</v>
      </c>
      <c r="C1660" s="1">
        <v>8711</v>
      </c>
      <c r="D1660" s="2">
        <v>42495</v>
      </c>
      <c r="E1660" s="1" t="s">
        <v>18</v>
      </c>
      <c r="F1660" t="str">
        <f>HYPERLINK("http://www.sec.gov/Archives/edgar/data/1389415/0001551163-16-000368-index.html")</f>
        <v>http://www.sec.gov/Archives/edgar/data/1389415/0001551163-16-000368-index.html</v>
      </c>
    </row>
    <row r="1661" spans="1:6" x14ac:dyDescent="0.2">
      <c r="A1661" t="s">
        <v>1523</v>
      </c>
      <c r="B1661" s="1">
        <v>1496819</v>
      </c>
      <c r="C1661" s="1">
        <v>2300</v>
      </c>
      <c r="D1661" s="2">
        <v>42495</v>
      </c>
      <c r="E1661" s="1" t="s">
        <v>18</v>
      </c>
      <c r="F1661" t="str">
        <f>HYPERLINK("http://www.sec.gov/Archives/edgar/data/1496819/0001398432-16-000631-index.html")</f>
        <v>http://www.sec.gov/Archives/edgar/data/1496819/0001398432-16-000631-index.html</v>
      </c>
    </row>
    <row r="1662" spans="1:6" x14ac:dyDescent="0.2">
      <c r="A1662" t="s">
        <v>1524</v>
      </c>
      <c r="B1662" s="1">
        <v>783005</v>
      </c>
      <c r="C1662" s="1">
        <v>4832</v>
      </c>
      <c r="D1662" s="2">
        <v>42495</v>
      </c>
      <c r="E1662" s="1" t="s">
        <v>18</v>
      </c>
      <c r="F1662" t="str">
        <f>HYPERLINK("http://www.sec.gov/Archives/edgar/data/783005/0000783005-16-000072-index.html")</f>
        <v>http://www.sec.gov/Archives/edgar/data/783005/0000783005-16-000072-index.html</v>
      </c>
    </row>
    <row r="1663" spans="1:6" x14ac:dyDescent="0.2">
      <c r="A1663" t="s">
        <v>1525</v>
      </c>
      <c r="B1663" s="1">
        <v>927653</v>
      </c>
      <c r="C1663" s="1">
        <v>5122</v>
      </c>
      <c r="D1663" s="2">
        <v>42495</v>
      </c>
      <c r="E1663" s="1" t="s">
        <v>18</v>
      </c>
      <c r="F1663" t="str">
        <f>HYPERLINK("http://www.sec.gov/Archives/edgar/data/927653/0000927653-16-000020-index.html")</f>
        <v>http://www.sec.gov/Archives/edgar/data/927653/0000927653-16-000020-index.html</v>
      </c>
    </row>
    <row r="1664" spans="1:6" x14ac:dyDescent="0.2">
      <c r="A1664" t="s">
        <v>1526</v>
      </c>
      <c r="B1664" s="1">
        <v>1348334</v>
      </c>
      <c r="C1664" s="1">
        <v>3577</v>
      </c>
      <c r="D1664" s="2">
        <v>42494</v>
      </c>
      <c r="E1664" s="1" t="s">
        <v>18</v>
      </c>
      <c r="F1664" t="str">
        <f>HYPERLINK("http://www.sec.gov/Archives/edgar/data/1348334/0001628280-16-015408-index.html")</f>
        <v>http://www.sec.gov/Archives/edgar/data/1348334/0001628280-16-015408-index.html</v>
      </c>
    </row>
    <row r="1665" spans="1:6" x14ac:dyDescent="0.2">
      <c r="A1665" t="s">
        <v>1519</v>
      </c>
      <c r="B1665" s="1">
        <v>1416697</v>
      </c>
      <c r="C1665" s="1">
        <v>5900</v>
      </c>
      <c r="D1665" s="2">
        <v>42494</v>
      </c>
      <c r="E1665" s="1" t="s">
        <v>42</v>
      </c>
      <c r="F1665" t="str">
        <f>HYPERLINK("http://www.sec.gov/Archives/edgar/data/1416697/0001127855-16-000620-index.html")</f>
        <v>http://www.sec.gov/Archives/edgar/data/1416697/0001127855-16-000620-index.html</v>
      </c>
    </row>
    <row r="1666" spans="1:6" x14ac:dyDescent="0.2">
      <c r="A1666" t="s">
        <v>1051</v>
      </c>
      <c r="B1666" s="1">
        <v>1439299</v>
      </c>
      <c r="C1666" s="1">
        <v>5140</v>
      </c>
      <c r="D1666" s="2">
        <v>42494</v>
      </c>
      <c r="E1666" s="1" t="s">
        <v>18</v>
      </c>
      <c r="F1666" t="str">
        <f>HYPERLINK("http://www.sec.gov/Archives/edgar/data/1439299/0000721748-16-001232-index.html")</f>
        <v>http://www.sec.gov/Archives/edgar/data/1439299/0000721748-16-001232-index.html</v>
      </c>
    </row>
    <row r="1667" spans="1:6" x14ac:dyDescent="0.2">
      <c r="A1667" t="s">
        <v>1527</v>
      </c>
      <c r="B1667" s="1">
        <v>1542335</v>
      </c>
      <c r="C1667" s="1">
        <v>3714</v>
      </c>
      <c r="D1667" s="2">
        <v>42494</v>
      </c>
      <c r="E1667" s="1" t="s">
        <v>42</v>
      </c>
      <c r="F1667" t="str">
        <f>HYPERLINK("http://www.sec.gov/Archives/edgar/data/1542335/0001477932-16-010044-index.html")</f>
        <v>http://www.sec.gov/Archives/edgar/data/1542335/0001477932-16-010044-index.html</v>
      </c>
    </row>
    <row r="1668" spans="1:6" x14ac:dyDescent="0.2">
      <c r="A1668" t="s">
        <v>1527</v>
      </c>
      <c r="B1668" s="1">
        <v>1542335</v>
      </c>
      <c r="C1668" s="1">
        <v>3714</v>
      </c>
      <c r="D1668" s="2">
        <v>42494</v>
      </c>
      <c r="E1668" s="1" t="s">
        <v>42</v>
      </c>
      <c r="F1668" t="str">
        <f>HYPERLINK("http://www.sec.gov/Archives/edgar/data/1542335/0001477932-16-010045-index.html")</f>
        <v>http://www.sec.gov/Archives/edgar/data/1542335/0001477932-16-010045-index.html</v>
      </c>
    </row>
    <row r="1669" spans="1:6" x14ac:dyDescent="0.2">
      <c r="A1669" t="s">
        <v>1528</v>
      </c>
      <c r="B1669" s="1">
        <v>1546296</v>
      </c>
      <c r="C1669" s="1">
        <v>7370</v>
      </c>
      <c r="D1669" s="2">
        <v>42494</v>
      </c>
      <c r="E1669" s="1" t="s">
        <v>42</v>
      </c>
      <c r="F1669" t="str">
        <f>HYPERLINK("http://www.sec.gov/Archives/edgar/data/1546296/0001214659-16-011237-index.html")</f>
        <v>http://www.sec.gov/Archives/edgar/data/1546296/0001214659-16-011237-index.html</v>
      </c>
    </row>
    <row r="1670" spans="1:6" x14ac:dyDescent="0.2">
      <c r="A1670" t="s">
        <v>1529</v>
      </c>
      <c r="B1670" s="1">
        <v>1565700</v>
      </c>
      <c r="C1670" s="1">
        <v>7374</v>
      </c>
      <c r="D1670" s="2">
        <v>42494</v>
      </c>
      <c r="E1670" s="1" t="s">
        <v>18</v>
      </c>
      <c r="F1670" t="str">
        <f>HYPERLINK("http://www.sec.gov/Archives/edgar/data/1565700/0001014897-16-000548-index.html")</f>
        <v>http://www.sec.gov/Archives/edgar/data/1565700/0001014897-16-000548-index.html</v>
      </c>
    </row>
    <row r="1671" spans="1:6" x14ac:dyDescent="0.2">
      <c r="A1671" t="s">
        <v>1530</v>
      </c>
      <c r="B1671" s="1">
        <v>1575913</v>
      </c>
      <c r="C1671" s="1">
        <v>7200</v>
      </c>
      <c r="D1671" s="2">
        <v>42494</v>
      </c>
      <c r="E1671" s="1" t="s">
        <v>42</v>
      </c>
      <c r="F1671" t="str">
        <f>HYPERLINK("http://www.sec.gov/Archives/edgar/data/1575913/0001504412-16-000242-index.html")</f>
        <v>http://www.sec.gov/Archives/edgar/data/1575913/0001504412-16-000242-index.html</v>
      </c>
    </row>
    <row r="1672" spans="1:6" x14ac:dyDescent="0.2">
      <c r="A1672" t="s">
        <v>1531</v>
      </c>
      <c r="B1672" s="1">
        <v>724910</v>
      </c>
      <c r="C1672" s="1">
        <v>3674</v>
      </c>
      <c r="D1672" s="2">
        <v>42494</v>
      </c>
      <c r="E1672" s="1" t="s">
        <v>18</v>
      </c>
      <c r="F1672" t="str">
        <f>HYPERLINK("http://www.sec.gov/Archives/edgar/data/724910/0000724910-16-000052-index.html")</f>
        <v>http://www.sec.gov/Archives/edgar/data/724910/0000724910-16-000052-index.html</v>
      </c>
    </row>
    <row r="1673" spans="1:6" x14ac:dyDescent="0.2">
      <c r="A1673" t="s">
        <v>306</v>
      </c>
      <c r="B1673" s="1">
        <v>1416090</v>
      </c>
      <c r="C1673" s="1">
        <v>1040</v>
      </c>
      <c r="D1673" s="2">
        <v>42493</v>
      </c>
      <c r="E1673" s="1" t="s">
        <v>18</v>
      </c>
      <c r="F1673" t="str">
        <f>HYPERLINK("http://www.sec.gov/Archives/edgar/data/1416090/0001493152-16-009355-index.html")</f>
        <v>http://www.sec.gov/Archives/edgar/data/1416090/0001493152-16-009355-index.html</v>
      </c>
    </row>
    <row r="1674" spans="1:6" x14ac:dyDescent="0.2">
      <c r="A1674" t="s">
        <v>1108</v>
      </c>
      <c r="B1674" s="1">
        <v>1586468</v>
      </c>
      <c r="C1674" s="1">
        <v>5810</v>
      </c>
      <c r="D1674" s="2">
        <v>42493</v>
      </c>
      <c r="E1674" s="1" t="s">
        <v>18</v>
      </c>
      <c r="F1674" t="str">
        <f>HYPERLINK("http://www.sec.gov/Archives/edgar/data/1586468/0001640334-16-001023-index.html")</f>
        <v>http://www.sec.gov/Archives/edgar/data/1586468/0001640334-16-001023-index.html</v>
      </c>
    </row>
    <row r="1675" spans="1:6" x14ac:dyDescent="0.2">
      <c r="A1675" t="s">
        <v>1532</v>
      </c>
      <c r="B1675" s="1">
        <v>1017290</v>
      </c>
      <c r="C1675" s="1">
        <v>1040</v>
      </c>
      <c r="D1675" s="2">
        <v>42492</v>
      </c>
      <c r="E1675" s="1" t="s">
        <v>18</v>
      </c>
      <c r="F1675" t="str">
        <f>HYPERLINK("http://www.sec.gov/Archives/edgar/data/1017290/0001062993-16-009338-index.html")</f>
        <v>http://www.sec.gov/Archives/edgar/data/1017290/0001062993-16-009338-index.html</v>
      </c>
    </row>
    <row r="1676" spans="1:6" x14ac:dyDescent="0.2">
      <c r="A1676" t="s">
        <v>1533</v>
      </c>
      <c r="B1676" s="1">
        <v>1084267</v>
      </c>
      <c r="C1676" s="1">
        <v>7310</v>
      </c>
      <c r="D1676" s="2">
        <v>42492</v>
      </c>
      <c r="E1676" s="1" t="s">
        <v>42</v>
      </c>
      <c r="F1676" t="str">
        <f>HYPERLINK("http://www.sec.gov/Archives/edgar/data/1084267/0001019687-16-006059-index.html")</f>
        <v>http://www.sec.gov/Archives/edgar/data/1084267/0001019687-16-006059-index.html</v>
      </c>
    </row>
    <row r="1677" spans="1:6" x14ac:dyDescent="0.2">
      <c r="A1677" t="s">
        <v>1534</v>
      </c>
      <c r="B1677" s="1">
        <v>1281845</v>
      </c>
      <c r="C1677" s="1">
        <v>8742</v>
      </c>
      <c r="D1677" s="2">
        <v>42492</v>
      </c>
      <c r="E1677" s="1" t="s">
        <v>18</v>
      </c>
      <c r="F1677" t="str">
        <f>HYPERLINK("http://www.sec.gov/Archives/edgar/data/1281845/0001078782-16-002719-index.html")</f>
        <v>http://www.sec.gov/Archives/edgar/data/1281845/0001078782-16-002719-index.html</v>
      </c>
    </row>
    <row r="1678" spans="1:6" x14ac:dyDescent="0.2">
      <c r="A1678" t="s">
        <v>1535</v>
      </c>
      <c r="B1678" s="1">
        <v>1306035</v>
      </c>
      <c r="C1678" s="1">
        <v>5990</v>
      </c>
      <c r="D1678" s="2">
        <v>42492</v>
      </c>
      <c r="E1678" s="1" t="s">
        <v>18</v>
      </c>
      <c r="F1678" t="str">
        <f>HYPERLINK("http://www.sec.gov/Archives/edgar/data/1306035/0001477932-16-010008-index.html")</f>
        <v>http://www.sec.gov/Archives/edgar/data/1306035/0001477932-16-010008-index.html</v>
      </c>
    </row>
    <row r="1679" spans="1:6" x14ac:dyDescent="0.2">
      <c r="A1679" t="s">
        <v>1536</v>
      </c>
      <c r="B1679" s="1">
        <v>1353633</v>
      </c>
      <c r="C1679" s="1">
        <v>3531</v>
      </c>
      <c r="D1679" s="2">
        <v>42492</v>
      </c>
      <c r="E1679" s="1" t="s">
        <v>18</v>
      </c>
      <c r="F1679" t="str">
        <f>HYPERLINK("http://www.sec.gov/Archives/edgar/data/1353633/0001062993-16-009328-index.html")</f>
        <v>http://www.sec.gov/Archives/edgar/data/1353633/0001062993-16-009328-index.html</v>
      </c>
    </row>
    <row r="1680" spans="1:6" x14ac:dyDescent="0.2">
      <c r="A1680" t="s">
        <v>1537</v>
      </c>
      <c r="B1680" s="1">
        <v>1413909</v>
      </c>
      <c r="C1680" s="1">
        <v>7373</v>
      </c>
      <c r="D1680" s="2">
        <v>42492</v>
      </c>
      <c r="E1680" s="1" t="s">
        <v>18</v>
      </c>
      <c r="F1680" t="str">
        <f>HYPERLINK("http://www.sec.gov/Archives/edgar/data/1413909/0001165527-16-000752-index.html")</f>
        <v>http://www.sec.gov/Archives/edgar/data/1413909/0001165527-16-000752-index.html</v>
      </c>
    </row>
    <row r="1681" spans="1:6" x14ac:dyDescent="0.2">
      <c r="A1681" t="s">
        <v>1538</v>
      </c>
      <c r="B1681" s="1">
        <v>1444363</v>
      </c>
      <c r="C1681" s="1">
        <v>6221</v>
      </c>
      <c r="D1681" s="2">
        <v>42492</v>
      </c>
      <c r="E1681" s="1" t="s">
        <v>42</v>
      </c>
      <c r="F1681" t="str">
        <f>HYPERLINK("http://www.sec.gov/Archives/edgar/data/1444363/0001444363-16-000218-index.html")</f>
        <v>http://www.sec.gov/Archives/edgar/data/1444363/0001444363-16-000218-index.html</v>
      </c>
    </row>
    <row r="1682" spans="1:6" x14ac:dyDescent="0.2">
      <c r="A1682" t="s">
        <v>1539</v>
      </c>
      <c r="B1682" s="1">
        <v>1445235</v>
      </c>
      <c r="C1682" s="1">
        <v>2851</v>
      </c>
      <c r="D1682" s="2">
        <v>42492</v>
      </c>
      <c r="E1682" s="1" t="s">
        <v>42</v>
      </c>
      <c r="F1682" t="str">
        <f>HYPERLINK("http://www.sec.gov/Archives/edgar/data/1445235/0001062993-16-009342-index.html")</f>
        <v>http://www.sec.gov/Archives/edgar/data/1445235/0001062993-16-009342-index.html</v>
      </c>
    </row>
    <row r="1683" spans="1:6" x14ac:dyDescent="0.2">
      <c r="A1683" t="s">
        <v>1540</v>
      </c>
      <c r="B1683" s="1">
        <v>1504167</v>
      </c>
      <c r="C1683" s="1">
        <v>2834</v>
      </c>
      <c r="D1683" s="2">
        <v>42492</v>
      </c>
      <c r="E1683" s="1" t="s">
        <v>18</v>
      </c>
      <c r="F1683" t="str">
        <f>HYPERLINK("http://www.sec.gov/Archives/edgar/data/1504167/0001047469-16-012794-index.html")</f>
        <v>http://www.sec.gov/Archives/edgar/data/1504167/0001047469-16-012794-index.html</v>
      </c>
    </row>
    <row r="1684" spans="1:6" x14ac:dyDescent="0.2">
      <c r="A1684" t="s">
        <v>1541</v>
      </c>
      <c r="B1684" s="1">
        <v>1567098</v>
      </c>
      <c r="C1684" s="1">
        <v>5122</v>
      </c>
      <c r="D1684" s="2">
        <v>42492</v>
      </c>
      <c r="E1684" s="1" t="s">
        <v>18</v>
      </c>
      <c r="F1684" t="str">
        <f>HYPERLINK("http://www.sec.gov/Archives/edgar/data/1567098/0001520138-16-000886-index.html")</f>
        <v>http://www.sec.gov/Archives/edgar/data/1567098/0001520138-16-000886-index.html</v>
      </c>
    </row>
    <row r="1685" spans="1:6" x14ac:dyDescent="0.2">
      <c r="A1685" t="s">
        <v>1542</v>
      </c>
      <c r="B1685" s="1">
        <v>22252</v>
      </c>
      <c r="C1685" s="1">
        <v>3663</v>
      </c>
      <c r="D1685" s="2">
        <v>42492</v>
      </c>
      <c r="E1685" s="1" t="s">
        <v>18</v>
      </c>
      <c r="F1685" t="str">
        <f>HYPERLINK("http://www.sec.gov/Archives/edgar/data/22252/0001437749-16-030440-index.html")</f>
        <v>http://www.sec.gov/Archives/edgar/data/22252/0001437749-16-030440-index.html</v>
      </c>
    </row>
    <row r="1686" spans="1:6" x14ac:dyDescent="0.2">
      <c r="A1686" t="s">
        <v>1543</v>
      </c>
      <c r="B1686" s="1">
        <v>319671</v>
      </c>
      <c r="C1686" s="1">
        <v>1040</v>
      </c>
      <c r="D1686" s="2">
        <v>42492</v>
      </c>
      <c r="E1686" s="1" t="s">
        <v>18</v>
      </c>
      <c r="F1686" t="str">
        <f>HYPERLINK("http://www.sec.gov/Archives/edgar/data/319671/0001437749-16-030518-index.html")</f>
        <v>http://www.sec.gov/Archives/edgar/data/319671/0001437749-16-030518-index.html</v>
      </c>
    </row>
    <row r="1687" spans="1:6" x14ac:dyDescent="0.2">
      <c r="A1687" t="s">
        <v>1544</v>
      </c>
      <c r="B1687" s="1">
        <v>723733</v>
      </c>
      <c r="C1687" s="1">
        <v>6770</v>
      </c>
      <c r="D1687" s="2">
        <v>42492</v>
      </c>
      <c r="E1687" s="1" t="s">
        <v>18</v>
      </c>
      <c r="F1687" t="str">
        <f>HYPERLINK("http://www.sec.gov/Archives/edgar/data/723733/0000723733-16-000011-index.html")</f>
        <v>http://www.sec.gov/Archives/edgar/data/723733/0000723733-16-000011-index.html</v>
      </c>
    </row>
    <row r="1688" spans="1:6" x14ac:dyDescent="0.2">
      <c r="A1688" t="s">
        <v>1545</v>
      </c>
      <c r="B1688" s="1">
        <v>766404</v>
      </c>
      <c r="C1688" s="1">
        <v>6770</v>
      </c>
      <c r="D1688" s="2">
        <v>42492</v>
      </c>
      <c r="E1688" s="1" t="s">
        <v>18</v>
      </c>
      <c r="F1688" t="str">
        <f>HYPERLINK("http://www.sec.gov/Archives/edgar/data/766404/0000766404-16-000011-index.html")</f>
        <v>http://www.sec.gov/Archives/edgar/data/766404/0000766404-16-000011-index.html</v>
      </c>
    </row>
    <row r="1689" spans="1:6" x14ac:dyDescent="0.2">
      <c r="A1689" t="s">
        <v>1546</v>
      </c>
      <c r="B1689" s="1">
        <v>773717</v>
      </c>
      <c r="C1689" s="1">
        <v>1400</v>
      </c>
      <c r="D1689" s="2">
        <v>42492</v>
      </c>
      <c r="E1689" s="1" t="s">
        <v>18</v>
      </c>
      <c r="F1689" t="str">
        <f>HYPERLINK("http://www.sec.gov/Archives/edgar/data/773717/0001144204-16-098363-index.html")</f>
        <v>http://www.sec.gov/Archives/edgar/data/773717/0001144204-16-098363-index.html</v>
      </c>
    </row>
    <row r="1690" spans="1:6" x14ac:dyDescent="0.2">
      <c r="A1690" t="s">
        <v>1547</v>
      </c>
      <c r="B1690" s="1">
        <v>802257</v>
      </c>
      <c r="C1690" s="1">
        <v>3669</v>
      </c>
      <c r="D1690" s="2">
        <v>42492</v>
      </c>
      <c r="E1690" s="1" t="s">
        <v>18</v>
      </c>
      <c r="F1690" t="str">
        <f>HYPERLINK("http://www.sec.gov/Archives/edgar/data/802257/0001575705-16-000121-index.html")</f>
        <v>http://www.sec.gov/Archives/edgar/data/802257/0001575705-16-000121-index.html</v>
      </c>
    </row>
    <row r="1691" spans="1:6" x14ac:dyDescent="0.2">
      <c r="A1691" t="s">
        <v>1548</v>
      </c>
      <c r="B1691" s="1">
        <v>1000753</v>
      </c>
      <c r="C1691" s="1">
        <v>7363</v>
      </c>
      <c r="D1691" s="2">
        <v>42488</v>
      </c>
      <c r="E1691" s="1" t="s">
        <v>42</v>
      </c>
      <c r="F1691" t="str">
        <f>HYPERLINK("http://www.sec.gov/Archives/edgar/data/1000753/0001000753-16-000094-index.html")</f>
        <v>http://www.sec.gov/Archives/edgar/data/1000753/0001000753-16-000094-index.html</v>
      </c>
    </row>
    <row r="1692" spans="1:6" x14ac:dyDescent="0.2">
      <c r="A1692" t="s">
        <v>1549</v>
      </c>
      <c r="B1692" s="1">
        <v>1011290</v>
      </c>
      <c r="C1692" s="1">
        <v>5331</v>
      </c>
      <c r="D1692" s="2">
        <v>42488</v>
      </c>
      <c r="E1692" s="1" t="s">
        <v>18</v>
      </c>
      <c r="F1692" t="str">
        <f>HYPERLINK("http://www.sec.gov/Archives/edgar/data/1011290/0001104659-16-115387-index.html")</f>
        <v>http://www.sec.gov/Archives/edgar/data/1011290/0001104659-16-115387-index.html</v>
      </c>
    </row>
    <row r="1693" spans="1:6" x14ac:dyDescent="0.2">
      <c r="A1693" t="s">
        <v>1550</v>
      </c>
      <c r="B1693" s="1">
        <v>1128361</v>
      </c>
      <c r="C1693" s="1">
        <v>6021</v>
      </c>
      <c r="D1693" s="2">
        <v>42488</v>
      </c>
      <c r="E1693" s="1" t="s">
        <v>42</v>
      </c>
      <c r="F1693" t="str">
        <f>HYPERLINK("http://www.sec.gov/Archives/edgar/data/1128361/0001128361-16-000066-index.html")</f>
        <v>http://www.sec.gov/Archives/edgar/data/1128361/0001128361-16-000066-index.html</v>
      </c>
    </row>
    <row r="1694" spans="1:6" x14ac:dyDescent="0.2">
      <c r="A1694" t="s">
        <v>1551</v>
      </c>
      <c r="B1694" s="1">
        <v>1142701</v>
      </c>
      <c r="C1694" s="1">
        <v>7370</v>
      </c>
      <c r="D1694" s="2">
        <v>42488</v>
      </c>
      <c r="E1694" s="1" t="s">
        <v>42</v>
      </c>
      <c r="F1694" t="str">
        <f>HYPERLINK("http://www.sec.gov/Archives/edgar/data/1142701/0001104659-16-115371-index.html")</f>
        <v>http://www.sec.gov/Archives/edgar/data/1142701/0001104659-16-115371-index.html</v>
      </c>
    </row>
    <row r="1695" spans="1:6" x14ac:dyDescent="0.2">
      <c r="A1695" t="s">
        <v>1552</v>
      </c>
      <c r="B1695" s="1">
        <v>1288469</v>
      </c>
      <c r="C1695" s="1">
        <v>3674</v>
      </c>
      <c r="D1695" s="2">
        <v>42488</v>
      </c>
      <c r="E1695" s="1" t="s">
        <v>42</v>
      </c>
      <c r="F1695" t="str">
        <f>HYPERLINK("http://www.sec.gov/Archives/edgar/data/1288469/0001193125-16-564154-index.html")</f>
        <v>http://www.sec.gov/Archives/edgar/data/1288469/0001193125-16-564154-index.html</v>
      </c>
    </row>
    <row r="1696" spans="1:6" x14ac:dyDescent="0.2">
      <c r="A1696" t="s">
        <v>1553</v>
      </c>
      <c r="B1696" s="1">
        <v>1377013</v>
      </c>
      <c r="C1696" s="1">
        <v>4841</v>
      </c>
      <c r="D1696" s="2">
        <v>42488</v>
      </c>
      <c r="E1696" s="1" t="s">
        <v>42</v>
      </c>
      <c r="F1696" t="str">
        <f>HYPERLINK("http://www.sec.gov/Archives/edgar/data/1377013/0001193125-16-564173-index.html")</f>
        <v>http://www.sec.gov/Archives/edgar/data/1377013/0001193125-16-564173-index.html</v>
      </c>
    </row>
    <row r="1697" spans="1:6" x14ac:dyDescent="0.2">
      <c r="A1697" t="s">
        <v>1554</v>
      </c>
      <c r="B1697" s="1">
        <v>1420525</v>
      </c>
      <c r="C1697" s="1">
        <v>6022</v>
      </c>
      <c r="D1697" s="2">
        <v>42488</v>
      </c>
      <c r="E1697" s="1" t="s">
        <v>42</v>
      </c>
      <c r="F1697" t="str">
        <f>HYPERLINK("http://www.sec.gov/Archives/edgar/data/1420525/0001437749-16-030218-index.html")</f>
        <v>http://www.sec.gov/Archives/edgar/data/1420525/0001437749-16-030218-index.html</v>
      </c>
    </row>
    <row r="1698" spans="1:6" x14ac:dyDescent="0.2">
      <c r="A1698" t="s">
        <v>667</v>
      </c>
      <c r="B1698" s="1">
        <v>1436161</v>
      </c>
      <c r="C1698" s="1">
        <v>2834</v>
      </c>
      <c r="D1698" s="2">
        <v>42488</v>
      </c>
      <c r="E1698" s="1" t="s">
        <v>18</v>
      </c>
      <c r="F1698" t="str">
        <f>HYPERLINK("http://www.sec.gov/Archives/edgar/data/1436161/0001553350-16-001952-index.html")</f>
        <v>http://www.sec.gov/Archives/edgar/data/1436161/0001553350-16-001952-index.html</v>
      </c>
    </row>
    <row r="1699" spans="1:6" x14ac:dyDescent="0.2">
      <c r="A1699" t="s">
        <v>1555</v>
      </c>
      <c r="B1699" s="1">
        <v>1444839</v>
      </c>
      <c r="C1699" s="1">
        <v>1040</v>
      </c>
      <c r="D1699" s="2">
        <v>42488</v>
      </c>
      <c r="E1699" s="1" t="s">
        <v>42</v>
      </c>
      <c r="F1699" t="str">
        <f>HYPERLINK("http://www.sec.gov/Archives/edgar/data/1444839/0001091818-16-000272-index.html")</f>
        <v>http://www.sec.gov/Archives/edgar/data/1444839/0001091818-16-000272-index.html</v>
      </c>
    </row>
    <row r="1700" spans="1:6" x14ac:dyDescent="0.2">
      <c r="A1700" t="s">
        <v>1556</v>
      </c>
      <c r="B1700" s="1">
        <v>1487718</v>
      </c>
      <c r="C1700" s="1">
        <v>5960</v>
      </c>
      <c r="D1700" s="2">
        <v>42488</v>
      </c>
      <c r="E1700" s="1" t="s">
        <v>18</v>
      </c>
      <c r="F1700" t="str">
        <f>HYPERLINK("http://www.sec.gov/Archives/edgar/data/1487718/0001580695-16-000370-index.html")</f>
        <v>http://www.sec.gov/Archives/edgar/data/1487718/0001580695-16-000370-index.html</v>
      </c>
    </row>
    <row r="1701" spans="1:6" x14ac:dyDescent="0.2">
      <c r="A1701" t="s">
        <v>1557</v>
      </c>
      <c r="B1701" s="1">
        <v>1501720</v>
      </c>
      <c r="C1701" s="1">
        <v>1311</v>
      </c>
      <c r="D1701" s="2">
        <v>42488</v>
      </c>
      <c r="E1701" s="1" t="s">
        <v>18</v>
      </c>
      <c r="F1701" t="str">
        <f>HYPERLINK("http://www.sec.gov/Archives/edgar/data/1501720/0001185185-16-004355-index.html")</f>
        <v>http://www.sec.gov/Archives/edgar/data/1501720/0001185185-16-004355-index.html</v>
      </c>
    </row>
    <row r="1702" spans="1:6" x14ac:dyDescent="0.2">
      <c r="A1702" t="s">
        <v>1558</v>
      </c>
      <c r="B1702" s="1">
        <v>1543083</v>
      </c>
      <c r="C1702" s="1">
        <v>900</v>
      </c>
      <c r="D1702" s="2">
        <v>42488</v>
      </c>
      <c r="E1702" s="1" t="s">
        <v>18</v>
      </c>
      <c r="F1702" t="str">
        <f>HYPERLINK("http://www.sec.gov/Archives/edgar/data/1543083/0001477932-16-009965-index.html")</f>
        <v>http://www.sec.gov/Archives/edgar/data/1543083/0001477932-16-009965-index.html</v>
      </c>
    </row>
    <row r="1703" spans="1:6" x14ac:dyDescent="0.2">
      <c r="A1703" t="s">
        <v>1559</v>
      </c>
      <c r="B1703" s="1">
        <v>1567503</v>
      </c>
      <c r="C1703" s="1">
        <v>8742</v>
      </c>
      <c r="D1703" s="2">
        <v>42488</v>
      </c>
      <c r="E1703" s="1" t="s">
        <v>18</v>
      </c>
      <c r="F1703" t="str">
        <f>HYPERLINK("http://www.sec.gov/Archives/edgar/data/1567503/0001553350-16-001955-index.html")</f>
        <v>http://www.sec.gov/Archives/edgar/data/1567503/0001553350-16-001955-index.html</v>
      </c>
    </row>
    <row r="1704" spans="1:6" x14ac:dyDescent="0.2">
      <c r="A1704" t="s">
        <v>1560</v>
      </c>
      <c r="B1704" s="1">
        <v>1632081</v>
      </c>
      <c r="C1704" s="1">
        <v>5412</v>
      </c>
      <c r="D1704" s="2">
        <v>42488</v>
      </c>
      <c r="E1704" s="1" t="s">
        <v>18</v>
      </c>
      <c r="F1704" t="str">
        <f>HYPERLINK("http://www.sec.gov/Archives/edgar/data/1632081/0001144204-16-097226-index.html")</f>
        <v>http://www.sec.gov/Archives/edgar/data/1632081/0001144204-16-097226-index.html</v>
      </c>
    </row>
    <row r="1705" spans="1:6" x14ac:dyDescent="0.2">
      <c r="A1705" t="s">
        <v>1561</v>
      </c>
      <c r="B1705" s="1">
        <v>1635840</v>
      </c>
      <c r="C1705" s="1">
        <v>6035</v>
      </c>
      <c r="D1705" s="2">
        <v>42488</v>
      </c>
      <c r="E1705" s="1" t="s">
        <v>42</v>
      </c>
      <c r="F1705" t="str">
        <f>HYPERLINK("http://www.sec.gov/Archives/edgar/data/1635840/0001571049-16-014391-index.html")</f>
        <v>http://www.sec.gov/Archives/edgar/data/1635840/0001571049-16-014391-index.html</v>
      </c>
    </row>
    <row r="1706" spans="1:6" x14ac:dyDescent="0.2">
      <c r="A1706" t="s">
        <v>1562</v>
      </c>
      <c r="B1706" s="1">
        <v>1655008</v>
      </c>
      <c r="C1706" s="1">
        <v>5130</v>
      </c>
      <c r="D1706" s="2">
        <v>42488</v>
      </c>
      <c r="E1706" s="1" t="s">
        <v>18</v>
      </c>
      <c r="F1706" t="str">
        <f>HYPERLINK("http://www.sec.gov/Archives/edgar/data/1655008/0001640334-16-001002-index.html")</f>
        <v>http://www.sec.gov/Archives/edgar/data/1655008/0001640334-16-001002-index.html</v>
      </c>
    </row>
    <row r="1707" spans="1:6" x14ac:dyDescent="0.2">
      <c r="A1707" t="s">
        <v>1563</v>
      </c>
      <c r="B1707" s="1">
        <v>313716</v>
      </c>
      <c r="C1707" s="1">
        <v>3541</v>
      </c>
      <c r="D1707" s="2">
        <v>42488</v>
      </c>
      <c r="E1707" s="1" t="s">
        <v>42</v>
      </c>
      <c r="F1707" t="str">
        <f>HYPERLINK("http://www.sec.gov/Archives/edgar/data/313716/0000313716-16-000086-index.html")</f>
        <v>http://www.sec.gov/Archives/edgar/data/313716/0000313716-16-000086-index.html</v>
      </c>
    </row>
    <row r="1708" spans="1:6" x14ac:dyDescent="0.2">
      <c r="A1708" t="s">
        <v>1564</v>
      </c>
      <c r="B1708" s="1">
        <v>356590</v>
      </c>
      <c r="C1708" s="1">
        <v>1311</v>
      </c>
      <c r="D1708" s="2">
        <v>42488</v>
      </c>
      <c r="E1708" s="1" t="s">
        <v>18</v>
      </c>
      <c r="F1708" t="str">
        <f>HYPERLINK("http://www.sec.gov/Archives/edgar/data/356590/0001354488-16-007133-index.html")</f>
        <v>http://www.sec.gov/Archives/edgar/data/356590/0001354488-16-007133-index.html</v>
      </c>
    </row>
    <row r="1709" spans="1:6" x14ac:dyDescent="0.2">
      <c r="A1709" t="s">
        <v>1564</v>
      </c>
      <c r="B1709" s="1">
        <v>356590</v>
      </c>
      <c r="C1709" s="1">
        <v>1311</v>
      </c>
      <c r="D1709" s="2">
        <v>42488</v>
      </c>
      <c r="E1709" s="1" t="s">
        <v>18</v>
      </c>
      <c r="F1709" t="str">
        <f>HYPERLINK("http://www.sec.gov/Archives/edgar/data/356590/0001354488-16-007141-index.html")</f>
        <v>http://www.sec.gov/Archives/edgar/data/356590/0001354488-16-007141-index.html</v>
      </c>
    </row>
    <row r="1710" spans="1:6" x14ac:dyDescent="0.2">
      <c r="A1710" t="s">
        <v>1565</v>
      </c>
      <c r="B1710" s="1">
        <v>68589</v>
      </c>
      <c r="C1710" s="1">
        <v>4924</v>
      </c>
      <c r="D1710" s="2">
        <v>42488</v>
      </c>
      <c r="E1710" s="1" t="s">
        <v>42</v>
      </c>
      <c r="F1710" t="str">
        <f>HYPERLINK("http://www.sec.gov/Archives/edgar/data/68589/0000751652-16-000357-index.html")</f>
        <v>http://www.sec.gov/Archives/edgar/data/68589/0000751652-16-000357-index.html</v>
      </c>
    </row>
    <row r="1711" spans="1:6" x14ac:dyDescent="0.2">
      <c r="A1711" t="s">
        <v>1566</v>
      </c>
      <c r="B1711" s="1">
        <v>727510</v>
      </c>
      <c r="C1711" s="1">
        <v>2836</v>
      </c>
      <c r="D1711" s="2">
        <v>42488</v>
      </c>
      <c r="E1711" s="1" t="s">
        <v>42</v>
      </c>
      <c r="F1711" t="str">
        <f>HYPERLINK("http://www.sec.gov/Archives/edgar/data/727510/0001144204-16-097169-index.html")</f>
        <v>http://www.sec.gov/Archives/edgar/data/727510/0001144204-16-097169-index.html</v>
      </c>
    </row>
    <row r="1712" spans="1:6" x14ac:dyDescent="0.2">
      <c r="A1712" t="s">
        <v>1567</v>
      </c>
      <c r="B1712" s="1">
        <v>751652</v>
      </c>
      <c r="C1712" s="1">
        <v>4923</v>
      </c>
      <c r="D1712" s="2">
        <v>42488</v>
      </c>
      <c r="E1712" s="1" t="s">
        <v>42</v>
      </c>
      <c r="F1712" t="str">
        <f>HYPERLINK("http://www.sec.gov/Archives/edgar/data/751652/0000751652-16-000357-index.html")</f>
        <v>http://www.sec.gov/Archives/edgar/data/751652/0000751652-16-000357-index.html</v>
      </c>
    </row>
    <row r="1713" spans="1:6" x14ac:dyDescent="0.2">
      <c r="A1713" t="s">
        <v>1568</v>
      </c>
      <c r="B1713" s="1">
        <v>763950</v>
      </c>
      <c r="C1713" s="1">
        <v>3823</v>
      </c>
      <c r="D1713" s="2">
        <v>42488</v>
      </c>
      <c r="E1713" s="1" t="s">
        <v>18</v>
      </c>
      <c r="F1713" t="str">
        <f>HYPERLINK("http://www.sec.gov/Archives/edgar/data/763950/0001078782-16-002701-index.html")</f>
        <v>http://www.sec.gov/Archives/edgar/data/763950/0001078782-16-002701-index.html</v>
      </c>
    </row>
    <row r="1714" spans="1:6" x14ac:dyDescent="0.2">
      <c r="A1714" t="s">
        <v>1569</v>
      </c>
      <c r="B1714" s="1">
        <v>764044</v>
      </c>
      <c r="C1714" s="1">
        <v>4922</v>
      </c>
      <c r="D1714" s="2">
        <v>42488</v>
      </c>
      <c r="E1714" s="1" t="s">
        <v>42</v>
      </c>
      <c r="F1714" t="str">
        <f>HYPERLINK("http://www.sec.gov/Archives/edgar/data/764044/0000751652-16-000357-index.html")</f>
        <v>http://www.sec.gov/Archives/edgar/data/764044/0000751652-16-000357-index.html</v>
      </c>
    </row>
    <row r="1715" spans="1:6" x14ac:dyDescent="0.2">
      <c r="A1715" t="s">
        <v>458</v>
      </c>
      <c r="B1715" s="1">
        <v>786110</v>
      </c>
      <c r="C1715" s="1">
        <v>2300</v>
      </c>
      <c r="D1715" s="2">
        <v>42488</v>
      </c>
      <c r="E1715" s="1" t="s">
        <v>18</v>
      </c>
      <c r="F1715" t="str">
        <f>HYPERLINK("http://www.sec.gov/Archives/edgar/data/786110/0001193125-16-560439-index.html")</f>
        <v>http://www.sec.gov/Archives/edgar/data/786110/0001193125-16-560439-index.html</v>
      </c>
    </row>
    <row r="1716" spans="1:6" x14ac:dyDescent="0.2">
      <c r="A1716" t="s">
        <v>1570</v>
      </c>
      <c r="B1716" s="1">
        <v>914122</v>
      </c>
      <c r="C1716" s="1">
        <v>3564</v>
      </c>
      <c r="D1716" s="2">
        <v>42488</v>
      </c>
      <c r="E1716" s="1" t="s">
        <v>18</v>
      </c>
      <c r="F1716" t="str">
        <f>HYPERLINK("http://www.sec.gov/Archives/edgar/data/914122/0000914122-16-000052-index.html")</f>
        <v>http://www.sec.gov/Archives/edgar/data/914122/0000914122-16-000052-index.html</v>
      </c>
    </row>
    <row r="1717" spans="1:6" x14ac:dyDescent="0.2">
      <c r="A1717" t="s">
        <v>1571</v>
      </c>
      <c r="B1717" s="1">
        <v>937941</v>
      </c>
      <c r="C1717" s="1">
        <v>5961</v>
      </c>
      <c r="D1717" s="2">
        <v>42488</v>
      </c>
      <c r="E1717" s="1" t="s">
        <v>42</v>
      </c>
      <c r="F1717" t="str">
        <f>HYPERLINK("http://www.sec.gov/Archives/edgar/data/937941/0001493152-16-009231-index.html")</f>
        <v>http://www.sec.gov/Archives/edgar/data/937941/0001493152-16-009231-index.html</v>
      </c>
    </row>
    <row r="1718" spans="1:6" x14ac:dyDescent="0.2">
      <c r="A1718" t="s">
        <v>1572</v>
      </c>
      <c r="B1718" s="1">
        <v>1073429</v>
      </c>
      <c r="C1718" s="1">
        <v>3272</v>
      </c>
      <c r="D1718" s="2">
        <v>42487</v>
      </c>
      <c r="E1718" s="1" t="s">
        <v>42</v>
      </c>
      <c r="F1718" t="str">
        <f>HYPERLINK("http://www.sec.gov/Archives/edgar/data/1073429/0001073429-16-000367-index.html")</f>
        <v>http://www.sec.gov/Archives/edgar/data/1073429/0001073429-16-000367-index.html</v>
      </c>
    </row>
    <row r="1719" spans="1:6" x14ac:dyDescent="0.2">
      <c r="A1719" t="s">
        <v>1573</v>
      </c>
      <c r="B1719" s="1">
        <v>1174940</v>
      </c>
      <c r="C1719" s="1">
        <v>2834</v>
      </c>
      <c r="D1719" s="2">
        <v>42487</v>
      </c>
      <c r="E1719" s="1" t="s">
        <v>42</v>
      </c>
      <c r="F1719" t="str">
        <f>HYPERLINK("http://www.sec.gov/Archives/edgar/data/1174940/0001193125-16-559573-index.html")</f>
        <v>http://www.sec.gov/Archives/edgar/data/1174940/0001193125-16-559573-index.html</v>
      </c>
    </row>
    <row r="1720" spans="1:6" x14ac:dyDescent="0.2">
      <c r="A1720" t="s">
        <v>1574</v>
      </c>
      <c r="B1720" s="1">
        <v>1222218</v>
      </c>
      <c r="C1720" s="1">
        <v>6162</v>
      </c>
      <c r="D1720" s="2">
        <v>42487</v>
      </c>
      <c r="E1720" s="1" t="s">
        <v>18</v>
      </c>
      <c r="F1720" t="str">
        <f>HYPERLINK("http://www.sec.gov/Archives/edgar/data/1222218/0001213900-16-012811-index.html")</f>
        <v>http://www.sec.gov/Archives/edgar/data/1222218/0001213900-16-012811-index.html</v>
      </c>
    </row>
    <row r="1721" spans="1:6" x14ac:dyDescent="0.2">
      <c r="A1721" t="s">
        <v>1292</v>
      </c>
      <c r="B1721" s="1">
        <v>1288195</v>
      </c>
      <c r="C1721" s="1">
        <v>4953</v>
      </c>
      <c r="D1721" s="2">
        <v>42487</v>
      </c>
      <c r="E1721" s="1" t="s">
        <v>18</v>
      </c>
      <c r="F1721" t="str">
        <f>HYPERLINK("http://www.sec.gov/Archives/edgar/data/1288195/0001019687-16-006007-index.html")</f>
        <v>http://www.sec.gov/Archives/edgar/data/1288195/0001019687-16-006007-index.html</v>
      </c>
    </row>
    <row r="1722" spans="1:6" x14ac:dyDescent="0.2">
      <c r="A1722" t="s">
        <v>1575</v>
      </c>
      <c r="B1722" s="1">
        <v>1304409</v>
      </c>
      <c r="C1722" s="1">
        <v>2082</v>
      </c>
      <c r="D1722" s="2">
        <v>42487</v>
      </c>
      <c r="E1722" s="1" t="s">
        <v>42</v>
      </c>
      <c r="F1722" t="str">
        <f>HYPERLINK("http://www.sec.gov/Archives/edgar/data/1304409/0001376474-16-000665-index.html")</f>
        <v>http://www.sec.gov/Archives/edgar/data/1304409/0001376474-16-000665-index.html</v>
      </c>
    </row>
    <row r="1723" spans="1:6" x14ac:dyDescent="0.2">
      <c r="A1723" t="s">
        <v>1576</v>
      </c>
      <c r="B1723" s="1">
        <v>1326801</v>
      </c>
      <c r="C1723" s="1">
        <v>7370</v>
      </c>
      <c r="D1723" s="2">
        <v>42487</v>
      </c>
      <c r="E1723" s="1" t="s">
        <v>42</v>
      </c>
      <c r="F1723" t="str">
        <f>HYPERLINK("http://www.sec.gov/Archives/edgar/data/1326801/0001326801-16-000063-index.html")</f>
        <v>http://www.sec.gov/Archives/edgar/data/1326801/0001326801-16-000063-index.html</v>
      </c>
    </row>
    <row r="1724" spans="1:6" x14ac:dyDescent="0.2">
      <c r="A1724" t="s">
        <v>1577</v>
      </c>
      <c r="B1724" s="1">
        <v>1454124</v>
      </c>
      <c r="C1724" s="1">
        <v>3669</v>
      </c>
      <c r="D1724" s="2">
        <v>42487</v>
      </c>
      <c r="E1724" s="1" t="s">
        <v>18</v>
      </c>
      <c r="F1724" t="str">
        <f>HYPERLINK("http://www.sec.gov/Archives/edgar/data/1454124/0001017386-16-000428-index.html")</f>
        <v>http://www.sec.gov/Archives/edgar/data/1454124/0001017386-16-000428-index.html</v>
      </c>
    </row>
    <row r="1725" spans="1:6" x14ac:dyDescent="0.2">
      <c r="A1725" t="s">
        <v>1578</v>
      </c>
      <c r="B1725" s="1">
        <v>1486800</v>
      </c>
      <c r="C1725" s="1">
        <v>7389</v>
      </c>
      <c r="D1725" s="2">
        <v>42487</v>
      </c>
      <c r="E1725" s="1" t="s">
        <v>42</v>
      </c>
      <c r="F1725" t="str">
        <f>HYPERLINK("http://www.sec.gov/Archives/edgar/data/1486800/0001437749-16-030091-index.html")</f>
        <v>http://www.sec.gov/Archives/edgar/data/1486800/0001437749-16-030091-index.html</v>
      </c>
    </row>
    <row r="1726" spans="1:6" x14ac:dyDescent="0.2">
      <c r="A1726" t="s">
        <v>865</v>
      </c>
      <c r="B1726" s="1">
        <v>1487252</v>
      </c>
      <c r="C1726" s="1">
        <v>3844</v>
      </c>
      <c r="D1726" s="2">
        <v>42487</v>
      </c>
      <c r="E1726" s="1" t="s">
        <v>18</v>
      </c>
      <c r="F1726" t="str">
        <f>HYPERLINK("http://www.sec.gov/Archives/edgar/data/1487252/0001504412-16-000240-index.html")</f>
        <v>http://www.sec.gov/Archives/edgar/data/1487252/0001504412-16-000240-index.html</v>
      </c>
    </row>
    <row r="1727" spans="1:6" x14ac:dyDescent="0.2">
      <c r="A1727" t="s">
        <v>1579</v>
      </c>
      <c r="B1727" s="1">
        <v>1582341</v>
      </c>
      <c r="C1727" s="1">
        <v>2820</v>
      </c>
      <c r="D1727" s="2">
        <v>42487</v>
      </c>
      <c r="E1727" s="1" t="s">
        <v>18</v>
      </c>
      <c r="F1727" t="str">
        <f>HYPERLINK("http://www.sec.gov/Archives/edgar/data/1582341/0001213900-16-012809-index.html")</f>
        <v>http://www.sec.gov/Archives/edgar/data/1582341/0001213900-16-012809-index.html</v>
      </c>
    </row>
    <row r="1728" spans="1:6" x14ac:dyDescent="0.2">
      <c r="A1728" t="s">
        <v>1580</v>
      </c>
      <c r="B1728" s="1">
        <v>1612254</v>
      </c>
      <c r="C1728" s="1">
        <v>6770</v>
      </c>
      <c r="D1728" s="2">
        <v>42487</v>
      </c>
      <c r="E1728" s="1" t="s">
        <v>42</v>
      </c>
      <c r="F1728" t="str">
        <f>HYPERLINK("http://www.sec.gov/Archives/edgar/data/1612254/0001659173-16-000272-index.html")</f>
        <v>http://www.sec.gov/Archives/edgar/data/1612254/0001659173-16-000272-index.html</v>
      </c>
    </row>
    <row r="1729" spans="1:6" x14ac:dyDescent="0.2">
      <c r="A1729" t="s">
        <v>1581</v>
      </c>
      <c r="B1729" s="1">
        <v>1623028</v>
      </c>
      <c r="C1729" s="1">
        <v>6770</v>
      </c>
      <c r="D1729" s="2">
        <v>42487</v>
      </c>
      <c r="E1729" s="1" t="s">
        <v>18</v>
      </c>
      <c r="F1729" t="str">
        <f>HYPERLINK("http://www.sec.gov/Archives/edgar/data/1623028/0001021432-16-001223-index.html")</f>
        <v>http://www.sec.gov/Archives/edgar/data/1623028/0001021432-16-001223-index.html</v>
      </c>
    </row>
    <row r="1730" spans="1:6" x14ac:dyDescent="0.2">
      <c r="A1730" t="s">
        <v>1582</v>
      </c>
      <c r="B1730" s="1">
        <v>43350</v>
      </c>
      <c r="C1730" s="1">
        <v>4924</v>
      </c>
      <c r="D1730" s="2">
        <v>42487</v>
      </c>
      <c r="E1730" s="1" t="s">
        <v>42</v>
      </c>
      <c r="F1730" t="str">
        <f>HYPERLINK("http://www.sec.gov/Archives/edgar/data/43350/0001144204-16-096601-index.html")</f>
        <v>http://www.sec.gov/Archives/edgar/data/43350/0001144204-16-096601-index.html</v>
      </c>
    </row>
    <row r="1731" spans="1:6" x14ac:dyDescent="0.2">
      <c r="A1731" t="s">
        <v>1482</v>
      </c>
      <c r="B1731" s="1">
        <v>807707</v>
      </c>
      <c r="C1731" s="1">
        <v>5065</v>
      </c>
      <c r="D1731" s="2">
        <v>42487</v>
      </c>
      <c r="E1731" s="1" t="s">
        <v>42</v>
      </c>
      <c r="F1731" t="str">
        <f>HYPERLINK("http://www.sec.gov/Archives/edgar/data/807707/0000807707-16-000047-index.html")</f>
        <v>http://www.sec.gov/Archives/edgar/data/807707/0000807707-16-000047-index.html</v>
      </c>
    </row>
    <row r="1732" spans="1:6" x14ac:dyDescent="0.2">
      <c r="A1732" t="s">
        <v>1583</v>
      </c>
      <c r="B1732" s="1">
        <v>925645</v>
      </c>
      <c r="C1732" s="1">
        <v>4833</v>
      </c>
      <c r="D1732" s="2">
        <v>42487</v>
      </c>
      <c r="E1732" s="1" t="s">
        <v>42</v>
      </c>
      <c r="F1732" t="str">
        <f>HYPERLINK("http://www.sec.gov/Archives/edgar/data/925645/0000925645-16-000056-index.html")</f>
        <v>http://www.sec.gov/Archives/edgar/data/925645/0000925645-16-000056-index.html</v>
      </c>
    </row>
    <row r="1733" spans="1:6" x14ac:dyDescent="0.2">
      <c r="A1733" t="s">
        <v>1584</v>
      </c>
      <c r="B1733" s="1">
        <v>1087423</v>
      </c>
      <c r="C1733" s="1">
        <v>7370</v>
      </c>
      <c r="D1733" s="2">
        <v>42486</v>
      </c>
      <c r="E1733" s="1" t="s">
        <v>18</v>
      </c>
      <c r="F1733" t="str">
        <f>HYPERLINK("http://www.sec.gov/Archives/edgar/data/1087423/0001193125-16-556503-index.html")</f>
        <v>http://www.sec.gov/Archives/edgar/data/1087423/0001193125-16-556503-index.html</v>
      </c>
    </row>
    <row r="1734" spans="1:6" x14ac:dyDescent="0.2">
      <c r="A1734" t="s">
        <v>1585</v>
      </c>
      <c r="B1734" s="1">
        <v>1106838</v>
      </c>
      <c r="C1734" s="1">
        <v>5812</v>
      </c>
      <c r="D1734" s="2">
        <v>42486</v>
      </c>
      <c r="E1734" s="1" t="s">
        <v>42</v>
      </c>
      <c r="F1734" t="str">
        <f>HYPERLINK("http://www.sec.gov/Archives/edgar/data/1106838/0001493152-16-009189-index.html")</f>
        <v>http://www.sec.gov/Archives/edgar/data/1106838/0001493152-16-009189-index.html</v>
      </c>
    </row>
    <row r="1735" spans="1:6" x14ac:dyDescent="0.2">
      <c r="A1735" t="s">
        <v>948</v>
      </c>
      <c r="B1735" s="1">
        <v>1491525</v>
      </c>
      <c r="C1735" s="1">
        <v>5090</v>
      </c>
      <c r="D1735" s="2">
        <v>42486</v>
      </c>
      <c r="E1735" s="1" t="s">
        <v>42</v>
      </c>
      <c r="F1735" t="str">
        <f>HYPERLINK("http://www.sec.gov/Archives/edgar/data/1491525/0001065949-16-000378-index.html")</f>
        <v>http://www.sec.gov/Archives/edgar/data/1491525/0001065949-16-000378-index.html</v>
      </c>
    </row>
    <row r="1736" spans="1:6" x14ac:dyDescent="0.2">
      <c r="A1736" t="s">
        <v>1586</v>
      </c>
      <c r="B1736" s="1">
        <v>1505966</v>
      </c>
      <c r="C1736" s="1">
        <v>7320</v>
      </c>
      <c r="D1736" s="2">
        <v>42486</v>
      </c>
      <c r="E1736" s="1" t="s">
        <v>18</v>
      </c>
      <c r="F1736" t="str">
        <f>HYPERLINK("http://www.sec.gov/Archives/edgar/data/1505966/0001505966-16-000032-index.html")</f>
        <v>http://www.sec.gov/Archives/edgar/data/1505966/0001505966-16-000032-index.html</v>
      </c>
    </row>
    <row r="1737" spans="1:6" x14ac:dyDescent="0.2">
      <c r="A1737" t="s">
        <v>1587</v>
      </c>
      <c r="B1737" s="1">
        <v>278130</v>
      </c>
      <c r="C1737" s="1">
        <v>5700</v>
      </c>
      <c r="D1737" s="2">
        <v>42486</v>
      </c>
      <c r="E1737" s="1" t="s">
        <v>18</v>
      </c>
      <c r="F1737" t="str">
        <f>HYPERLINK("http://www.sec.gov/Archives/edgar/data/278130/0001193125-16-556025-index.html")</f>
        <v>http://www.sec.gov/Archives/edgar/data/278130/0001193125-16-556025-index.html</v>
      </c>
    </row>
    <row r="1738" spans="1:6" x14ac:dyDescent="0.2">
      <c r="A1738" t="s">
        <v>1588</v>
      </c>
      <c r="B1738" s="1">
        <v>34115</v>
      </c>
      <c r="C1738" s="1">
        <v>5600</v>
      </c>
      <c r="D1738" s="2">
        <v>42486</v>
      </c>
      <c r="E1738" s="1" t="s">
        <v>18</v>
      </c>
      <c r="F1738" t="str">
        <f>HYPERLINK("http://www.sec.gov/Archives/edgar/data/34115/0001193125-16-556391-index.html")</f>
        <v>http://www.sec.gov/Archives/edgar/data/34115/0001193125-16-556391-index.html</v>
      </c>
    </row>
    <row r="1739" spans="1:6" x14ac:dyDescent="0.2">
      <c r="A1739" t="s">
        <v>1589</v>
      </c>
      <c r="B1739" s="1">
        <v>751365</v>
      </c>
      <c r="C1739" s="1">
        <v>2531</v>
      </c>
      <c r="D1739" s="2">
        <v>42486</v>
      </c>
      <c r="E1739" s="1" t="s">
        <v>18</v>
      </c>
      <c r="F1739" t="str">
        <f>HYPERLINK("http://www.sec.gov/Archives/edgar/data/751365/0001628280-16-014729-index.html")</f>
        <v>http://www.sec.gov/Archives/edgar/data/751365/0001628280-16-014729-index.html</v>
      </c>
    </row>
    <row r="1740" spans="1:6" x14ac:dyDescent="0.2">
      <c r="A1740" t="s">
        <v>619</v>
      </c>
      <c r="B1740" s="1">
        <v>836809</v>
      </c>
      <c r="C1740" s="1">
        <v>3663</v>
      </c>
      <c r="D1740" s="2">
        <v>42486</v>
      </c>
      <c r="E1740" s="1" t="s">
        <v>42</v>
      </c>
      <c r="F1740" t="str">
        <f>HYPERLINK("http://www.sec.gov/Archives/edgar/data/836809/0001199835-16-000767-index.html")</f>
        <v>http://www.sec.gov/Archives/edgar/data/836809/0001199835-16-000767-index.html</v>
      </c>
    </row>
    <row r="1741" spans="1:6" x14ac:dyDescent="0.2">
      <c r="A1741" t="s">
        <v>1590</v>
      </c>
      <c r="B1741" s="1">
        <v>842013</v>
      </c>
      <c r="C1741" s="1">
        <v>7372</v>
      </c>
      <c r="D1741" s="2">
        <v>42486</v>
      </c>
      <c r="E1741" s="1" t="s">
        <v>18</v>
      </c>
      <c r="F1741" t="str">
        <f>HYPERLINK("http://www.sec.gov/Archives/edgar/data/842013/0001013762-16-001502-index.html")</f>
        <v>http://www.sec.gov/Archives/edgar/data/842013/0001013762-16-001502-index.html</v>
      </c>
    </row>
    <row r="1742" spans="1:6" x14ac:dyDescent="0.2">
      <c r="A1742" t="s">
        <v>1591</v>
      </c>
      <c r="B1742" s="1">
        <v>886137</v>
      </c>
      <c r="C1742" s="1">
        <v>5661</v>
      </c>
      <c r="D1742" s="2">
        <v>42486</v>
      </c>
      <c r="E1742" s="1" t="s">
        <v>18</v>
      </c>
      <c r="F1742" t="str">
        <f>HYPERLINK("http://www.sec.gov/Archives/edgar/data/886137/0000886137-16-000072-index.html")</f>
        <v>http://www.sec.gov/Archives/edgar/data/886137/0000886137-16-000072-index.html</v>
      </c>
    </row>
    <row r="1743" spans="1:6" x14ac:dyDescent="0.2">
      <c r="A1743" t="s">
        <v>1592</v>
      </c>
      <c r="B1743" s="1">
        <v>886158</v>
      </c>
      <c r="C1743" s="1">
        <v>5700</v>
      </c>
      <c r="D1743" s="2">
        <v>42486</v>
      </c>
      <c r="E1743" s="1" t="s">
        <v>18</v>
      </c>
      <c r="F1743" t="str">
        <f>HYPERLINK("http://www.sec.gov/Archives/edgar/data/886158/0001171843-16-009400-index.html")</f>
        <v>http://www.sec.gov/Archives/edgar/data/886158/0001171843-16-009400-index.html</v>
      </c>
    </row>
    <row r="1744" spans="1:6" x14ac:dyDescent="0.2">
      <c r="A1744" t="s">
        <v>1593</v>
      </c>
      <c r="B1744" s="1">
        <v>95521</v>
      </c>
      <c r="C1744" s="1">
        <v>5411</v>
      </c>
      <c r="D1744" s="2">
        <v>42486</v>
      </c>
      <c r="E1744" s="1" t="s">
        <v>18</v>
      </c>
      <c r="F1744" t="str">
        <f>HYPERLINK("http://www.sec.gov/Archives/edgar/data/95521/0000095521-16-000192-index.html")</f>
        <v>http://www.sec.gov/Archives/edgar/data/95521/0000095521-16-000192-index.html</v>
      </c>
    </row>
    <row r="1745" spans="1:6" x14ac:dyDescent="0.2">
      <c r="A1745" t="s">
        <v>1594</v>
      </c>
      <c r="B1745" s="1">
        <v>1001463</v>
      </c>
      <c r="C1745" s="1">
        <v>5010</v>
      </c>
      <c r="D1745" s="2">
        <v>42485</v>
      </c>
      <c r="E1745" s="1" t="s">
        <v>42</v>
      </c>
      <c r="F1745" t="str">
        <f>HYPERLINK("http://www.sec.gov/Archives/edgar/data/1001463/0001185185-16-004332-index.html")</f>
        <v>http://www.sec.gov/Archives/edgar/data/1001463/0001185185-16-004332-index.html</v>
      </c>
    </row>
    <row r="1746" spans="1:6" x14ac:dyDescent="0.2">
      <c r="A1746" t="s">
        <v>1595</v>
      </c>
      <c r="B1746" s="1">
        <v>1044378</v>
      </c>
      <c r="C1746" s="1">
        <v>8071</v>
      </c>
      <c r="D1746" s="2">
        <v>42485</v>
      </c>
      <c r="E1746" s="1" t="s">
        <v>42</v>
      </c>
      <c r="F1746" t="str">
        <f>HYPERLINK("http://www.sec.gov/Archives/edgar/data/1044378/0001564590-16-016584-index.html")</f>
        <v>http://www.sec.gov/Archives/edgar/data/1044378/0001564590-16-016584-index.html</v>
      </c>
    </row>
    <row r="1747" spans="1:6" x14ac:dyDescent="0.2">
      <c r="A1747" t="s">
        <v>96</v>
      </c>
      <c r="B1747" s="1">
        <v>1205181</v>
      </c>
      <c r="C1747" s="1">
        <v>3844</v>
      </c>
      <c r="D1747" s="2">
        <v>42485</v>
      </c>
      <c r="E1747" s="1" t="s">
        <v>18</v>
      </c>
      <c r="F1747" t="str">
        <f>HYPERLINK("http://www.sec.gov/Archives/edgar/data/1205181/0001185185-16-004343-index.html")</f>
        <v>http://www.sec.gov/Archives/edgar/data/1205181/0001185185-16-004343-index.html</v>
      </c>
    </row>
    <row r="1748" spans="1:6" x14ac:dyDescent="0.2">
      <c r="A1748" t="s">
        <v>1596</v>
      </c>
      <c r="B1748" s="1">
        <v>1217234</v>
      </c>
      <c r="C1748" s="1">
        <v>8071</v>
      </c>
      <c r="D1748" s="2">
        <v>42485</v>
      </c>
      <c r="E1748" s="1" t="s">
        <v>42</v>
      </c>
      <c r="F1748" t="str">
        <f>HYPERLINK("http://www.sec.gov/Archives/edgar/data/1217234/0001193125-16-554370-index.html")</f>
        <v>http://www.sec.gov/Archives/edgar/data/1217234/0001193125-16-554370-index.html</v>
      </c>
    </row>
    <row r="1749" spans="1:6" x14ac:dyDescent="0.2">
      <c r="A1749" t="s">
        <v>1597</v>
      </c>
      <c r="B1749" s="1">
        <v>1276591</v>
      </c>
      <c r="C1749" s="1">
        <v>3842</v>
      </c>
      <c r="D1749" s="2">
        <v>42485</v>
      </c>
      <c r="E1749" s="1" t="s">
        <v>18</v>
      </c>
      <c r="F1749" t="str">
        <f>HYPERLINK("http://www.sec.gov/Archives/edgar/data/1276591/0001276591-16-000045-index.html")</f>
        <v>http://www.sec.gov/Archives/edgar/data/1276591/0001276591-16-000045-index.html</v>
      </c>
    </row>
    <row r="1750" spans="1:6" x14ac:dyDescent="0.2">
      <c r="A1750" t="s">
        <v>1598</v>
      </c>
      <c r="B1750" s="1">
        <v>1282648</v>
      </c>
      <c r="C1750" s="1">
        <v>1311</v>
      </c>
      <c r="D1750" s="2">
        <v>42485</v>
      </c>
      <c r="E1750" s="1" t="s">
        <v>42</v>
      </c>
      <c r="F1750" t="str">
        <f>HYPERLINK("http://www.sec.gov/Archives/edgar/data/1282648/0001047469-16-012518-index.html")</f>
        <v>http://www.sec.gov/Archives/edgar/data/1282648/0001047469-16-012518-index.html</v>
      </c>
    </row>
    <row r="1751" spans="1:6" x14ac:dyDescent="0.2">
      <c r="A1751" t="s">
        <v>1037</v>
      </c>
      <c r="B1751" s="1">
        <v>1403792</v>
      </c>
      <c r="C1751" s="1">
        <v>6770</v>
      </c>
      <c r="D1751" s="2">
        <v>42485</v>
      </c>
      <c r="E1751" s="1" t="s">
        <v>18</v>
      </c>
      <c r="F1751" t="str">
        <f>HYPERLINK("http://www.sec.gov/Archives/edgar/data/1403792/0001376474-16-000664-index.html")</f>
        <v>http://www.sec.gov/Archives/edgar/data/1403792/0001376474-16-000664-index.html</v>
      </c>
    </row>
    <row r="1752" spans="1:6" x14ac:dyDescent="0.2">
      <c r="A1752" t="s">
        <v>1599</v>
      </c>
      <c r="B1752" s="1">
        <v>1489300</v>
      </c>
      <c r="C1752" s="1">
        <v>1000</v>
      </c>
      <c r="D1752" s="2">
        <v>42485</v>
      </c>
      <c r="E1752" s="1" t="s">
        <v>18</v>
      </c>
      <c r="F1752" t="str">
        <f>HYPERLINK("http://www.sec.gov/Archives/edgar/data/1489300/0001554855-16-000272-index.html")</f>
        <v>http://www.sec.gov/Archives/edgar/data/1489300/0001554855-16-000272-index.html</v>
      </c>
    </row>
    <row r="1753" spans="1:6" x14ac:dyDescent="0.2">
      <c r="A1753" t="s">
        <v>1600</v>
      </c>
      <c r="B1753" s="1">
        <v>16918</v>
      </c>
      <c r="C1753" s="1">
        <v>2080</v>
      </c>
      <c r="D1753" s="2">
        <v>42485</v>
      </c>
      <c r="E1753" s="1" t="s">
        <v>18</v>
      </c>
      <c r="F1753" t="str">
        <f>HYPERLINK("http://www.sec.gov/Archives/edgar/data/16918/0000016918-16-000075-index.html")</f>
        <v>http://www.sec.gov/Archives/edgar/data/16918/0000016918-16-000075-index.html</v>
      </c>
    </row>
    <row r="1754" spans="1:6" x14ac:dyDescent="0.2">
      <c r="A1754" t="s">
        <v>1601</v>
      </c>
      <c r="B1754" s="1">
        <v>6845</v>
      </c>
      <c r="C1754" s="1">
        <v>3231</v>
      </c>
      <c r="D1754" s="2">
        <v>42485</v>
      </c>
      <c r="E1754" s="1" t="s">
        <v>18</v>
      </c>
      <c r="F1754" t="str">
        <f>HYPERLINK("http://www.sec.gov/Archives/edgar/data/6845/0000006845-16-000039-index.html")</f>
        <v>http://www.sec.gov/Archives/edgar/data/6845/0000006845-16-000039-index.html</v>
      </c>
    </row>
    <row r="1755" spans="1:6" x14ac:dyDescent="0.2">
      <c r="A1755" t="s">
        <v>1602</v>
      </c>
      <c r="B1755" s="1">
        <v>84129</v>
      </c>
      <c r="C1755" s="1">
        <v>5912</v>
      </c>
      <c r="D1755" s="2">
        <v>42485</v>
      </c>
      <c r="E1755" s="1" t="s">
        <v>18</v>
      </c>
      <c r="F1755" t="str">
        <f>HYPERLINK("http://www.sec.gov/Archives/edgar/data/84129/0001047469-16-012513-index.html")</f>
        <v>http://www.sec.gov/Archives/edgar/data/84129/0001047469-16-012513-index.html</v>
      </c>
    </row>
    <row r="1756" spans="1:6" x14ac:dyDescent="0.2">
      <c r="A1756" t="s">
        <v>1603</v>
      </c>
      <c r="B1756" s="1">
        <v>1000298</v>
      </c>
      <c r="C1756" s="1">
        <v>6798</v>
      </c>
      <c r="D1756" s="2">
        <v>42482</v>
      </c>
      <c r="E1756" s="1" t="s">
        <v>42</v>
      </c>
      <c r="F1756" t="str">
        <f>HYPERLINK("http://www.sec.gov/Archives/edgar/data/1000298/0001104659-16-113548-index.html")</f>
        <v>http://www.sec.gov/Archives/edgar/data/1000298/0001104659-16-113548-index.html</v>
      </c>
    </row>
    <row r="1757" spans="1:6" x14ac:dyDescent="0.2">
      <c r="A1757" t="s">
        <v>1604</v>
      </c>
      <c r="B1757" s="1">
        <v>1170010</v>
      </c>
      <c r="C1757" s="1">
        <v>5500</v>
      </c>
      <c r="D1757" s="2">
        <v>42482</v>
      </c>
      <c r="E1757" s="1" t="s">
        <v>18</v>
      </c>
      <c r="F1757" t="str">
        <f>HYPERLINK("http://www.sec.gov/Archives/edgar/data/1170010/0001170010-16-000117-index.html")</f>
        <v>http://www.sec.gov/Archives/edgar/data/1170010/0001170010-16-000117-index.html</v>
      </c>
    </row>
    <row r="1758" spans="1:6" x14ac:dyDescent="0.2">
      <c r="A1758" t="s">
        <v>1605</v>
      </c>
      <c r="B1758" s="1">
        <v>1211211</v>
      </c>
      <c r="C1758" s="1">
        <v>7310</v>
      </c>
      <c r="D1758" s="2">
        <v>42482</v>
      </c>
      <c r="E1758" s="1" t="s">
        <v>18</v>
      </c>
      <c r="F1758" t="str">
        <f>HYPERLINK("http://www.sec.gov/Archives/edgar/data/1211211/0001642863-16-000020-index.html")</f>
        <v>http://www.sec.gov/Archives/edgar/data/1211211/0001642863-16-000020-index.html</v>
      </c>
    </row>
    <row r="1759" spans="1:6" x14ac:dyDescent="0.2">
      <c r="A1759" t="s">
        <v>1606</v>
      </c>
      <c r="B1759" s="1">
        <v>1269127</v>
      </c>
      <c r="C1759" s="1">
        <v>4950</v>
      </c>
      <c r="D1759" s="2">
        <v>42482</v>
      </c>
      <c r="E1759" s="1" t="s">
        <v>18</v>
      </c>
      <c r="F1759" t="str">
        <f>HYPERLINK("http://www.sec.gov/Archives/edgar/data/1269127/0001096906-16-001559-index.html")</f>
        <v>http://www.sec.gov/Archives/edgar/data/1269127/0001096906-16-001559-index.html</v>
      </c>
    </row>
    <row r="1760" spans="1:6" x14ac:dyDescent="0.2">
      <c r="A1760" t="s">
        <v>1607</v>
      </c>
      <c r="B1760" s="1">
        <v>1413507</v>
      </c>
      <c r="C1760" s="1">
        <v>1311</v>
      </c>
      <c r="D1760" s="2">
        <v>42482</v>
      </c>
      <c r="E1760" s="1" t="s">
        <v>21</v>
      </c>
      <c r="F1760" t="str">
        <f>HYPERLINK("http://www.sec.gov/Archives/edgar/data/1413507/0001413507-16-000126-index.html")</f>
        <v>http://www.sec.gov/Archives/edgar/data/1413507/0001413507-16-000126-index.html</v>
      </c>
    </row>
    <row r="1761" spans="1:6" x14ac:dyDescent="0.2">
      <c r="A1761" t="s">
        <v>1519</v>
      </c>
      <c r="B1761" s="1">
        <v>1416697</v>
      </c>
      <c r="C1761" s="1">
        <v>5900</v>
      </c>
      <c r="D1761" s="2">
        <v>42482</v>
      </c>
      <c r="E1761" s="1" t="s">
        <v>42</v>
      </c>
      <c r="F1761" t="str">
        <f>HYPERLINK("http://www.sec.gov/Archives/edgar/data/1416697/0001127855-16-000608-index.html")</f>
        <v>http://www.sec.gov/Archives/edgar/data/1416697/0001127855-16-000608-index.html</v>
      </c>
    </row>
    <row r="1762" spans="1:6" x14ac:dyDescent="0.2">
      <c r="A1762" t="s">
        <v>437</v>
      </c>
      <c r="B1762" s="1">
        <v>1419051</v>
      </c>
      <c r="C1762" s="1">
        <v>3841</v>
      </c>
      <c r="D1762" s="2">
        <v>42482</v>
      </c>
      <c r="E1762" s="1" t="s">
        <v>18</v>
      </c>
      <c r="F1762" t="str">
        <f>HYPERLINK("http://www.sec.gov/Archives/edgar/data/1419051/0001078782-16-002693-index.html")</f>
        <v>http://www.sec.gov/Archives/edgar/data/1419051/0001078782-16-002693-index.html</v>
      </c>
    </row>
    <row r="1763" spans="1:6" x14ac:dyDescent="0.2">
      <c r="A1763" t="s">
        <v>1608</v>
      </c>
      <c r="B1763" s="1">
        <v>1467913</v>
      </c>
      <c r="C1763" s="1">
        <v>4932</v>
      </c>
      <c r="D1763" s="2">
        <v>42482</v>
      </c>
      <c r="E1763" s="1" t="s">
        <v>18</v>
      </c>
      <c r="F1763" t="str">
        <f>HYPERLINK("http://www.sec.gov/Archives/edgar/data/1467913/0001079974-16-001146-index.html")</f>
        <v>http://www.sec.gov/Archives/edgar/data/1467913/0001079974-16-001146-index.html</v>
      </c>
    </row>
    <row r="1764" spans="1:6" x14ac:dyDescent="0.2">
      <c r="A1764" t="s">
        <v>1609</v>
      </c>
      <c r="B1764" s="1">
        <v>1543652</v>
      </c>
      <c r="C1764" s="1">
        <v>1700</v>
      </c>
      <c r="D1764" s="2">
        <v>42482</v>
      </c>
      <c r="E1764" s="1" t="s">
        <v>18</v>
      </c>
      <c r="F1764" t="str">
        <f>HYPERLINK("http://www.sec.gov/Archives/edgar/data/1543652/0001165527-16-000743-index.html")</f>
        <v>http://www.sec.gov/Archives/edgar/data/1543652/0001165527-16-000743-index.html</v>
      </c>
    </row>
    <row r="1765" spans="1:6" x14ac:dyDescent="0.2">
      <c r="A1765" t="s">
        <v>1610</v>
      </c>
      <c r="B1765" s="1">
        <v>881524</v>
      </c>
      <c r="C1765" s="1">
        <v>2834</v>
      </c>
      <c r="D1765" s="2">
        <v>42482</v>
      </c>
      <c r="E1765" s="1" t="s">
        <v>42</v>
      </c>
      <c r="F1765" t="str">
        <f>HYPERLINK("http://www.sec.gov/Archives/edgar/data/881524/0001047469-16-012472-index.html")</f>
        <v>http://www.sec.gov/Archives/edgar/data/881524/0001047469-16-012472-index.html</v>
      </c>
    </row>
    <row r="1766" spans="1:6" x14ac:dyDescent="0.2">
      <c r="A1766" t="s">
        <v>1611</v>
      </c>
      <c r="B1766" s="1">
        <v>1091983</v>
      </c>
      <c r="C1766" s="1">
        <v>2090</v>
      </c>
      <c r="D1766" s="2">
        <v>42481</v>
      </c>
      <c r="E1766" s="1" t="s">
        <v>42</v>
      </c>
      <c r="F1766" t="str">
        <f>HYPERLINK("http://www.sec.gov/Archives/edgar/data/1091983/0001548123-16-000538-index.html")</f>
        <v>http://www.sec.gov/Archives/edgar/data/1091983/0001548123-16-000538-index.html</v>
      </c>
    </row>
    <row r="1767" spans="1:6" x14ac:dyDescent="0.2">
      <c r="A1767" t="s">
        <v>1612</v>
      </c>
      <c r="B1767" s="1">
        <v>1144354</v>
      </c>
      <c r="C1767" s="1">
        <v>7389</v>
      </c>
      <c r="D1767" s="2">
        <v>42481</v>
      </c>
      <c r="E1767" s="1" t="s">
        <v>42</v>
      </c>
      <c r="F1767" t="str">
        <f>HYPERLINK("http://www.sec.gov/Archives/edgar/data/1144354/0001144354-16-000143-index.html")</f>
        <v>http://www.sec.gov/Archives/edgar/data/1144354/0001144354-16-000143-index.html</v>
      </c>
    </row>
    <row r="1768" spans="1:6" x14ac:dyDescent="0.2">
      <c r="A1768" t="s">
        <v>1613</v>
      </c>
      <c r="B1768" s="1">
        <v>1520358</v>
      </c>
      <c r="C1768" s="1">
        <v>2013</v>
      </c>
      <c r="D1768" s="2">
        <v>42481</v>
      </c>
      <c r="E1768" s="1" t="s">
        <v>18</v>
      </c>
      <c r="F1768" t="str">
        <f>HYPERLINK("http://www.sec.gov/Archives/edgar/data/1520358/0001493152-16-009105-index.html")</f>
        <v>http://www.sec.gov/Archives/edgar/data/1520358/0001493152-16-009105-index.html</v>
      </c>
    </row>
    <row r="1769" spans="1:6" x14ac:dyDescent="0.2">
      <c r="A1769" t="s">
        <v>1614</v>
      </c>
      <c r="B1769" s="1">
        <v>1533427</v>
      </c>
      <c r="C1769" s="1">
        <v>7389</v>
      </c>
      <c r="D1769" s="2">
        <v>42481</v>
      </c>
      <c r="E1769" s="1" t="s">
        <v>42</v>
      </c>
      <c r="F1769" t="str">
        <f>HYPERLINK("http://www.sec.gov/Archives/edgar/data/1533427/0001127855-16-000603-index.html")</f>
        <v>http://www.sec.gov/Archives/edgar/data/1533427/0001127855-16-000603-index.html</v>
      </c>
    </row>
    <row r="1770" spans="1:6" x14ac:dyDescent="0.2">
      <c r="A1770" t="s">
        <v>1615</v>
      </c>
      <c r="B1770" s="1">
        <v>1554970</v>
      </c>
      <c r="C1770" s="1">
        <v>1311</v>
      </c>
      <c r="D1770" s="2">
        <v>42481</v>
      </c>
      <c r="E1770" s="1" t="s">
        <v>18</v>
      </c>
      <c r="F1770" t="str">
        <f>HYPERLINK("http://www.sec.gov/Archives/edgar/data/1554970/0001140361-16-061687-index.html")</f>
        <v>http://www.sec.gov/Archives/edgar/data/1554970/0001140361-16-061687-index.html</v>
      </c>
    </row>
    <row r="1771" spans="1:6" x14ac:dyDescent="0.2">
      <c r="A1771" t="s">
        <v>1616</v>
      </c>
      <c r="B1771" s="1">
        <v>1584618</v>
      </c>
      <c r="C1771" s="1">
        <v>8742</v>
      </c>
      <c r="D1771" s="2">
        <v>42481</v>
      </c>
      <c r="E1771" s="1" t="s">
        <v>18</v>
      </c>
      <c r="F1771" t="str">
        <f>HYPERLINK("http://www.sec.gov/Archives/edgar/data/1584618/0001014897-16-000534-index.html")</f>
        <v>http://www.sec.gov/Archives/edgar/data/1584618/0001014897-16-000534-index.html</v>
      </c>
    </row>
    <row r="1772" spans="1:6" x14ac:dyDescent="0.2">
      <c r="A1772" t="s">
        <v>1617</v>
      </c>
      <c r="B1772" s="1">
        <v>798081</v>
      </c>
      <c r="C1772" s="1">
        <v>3842</v>
      </c>
      <c r="D1772" s="2">
        <v>42481</v>
      </c>
      <c r="E1772" s="1" t="s">
        <v>18</v>
      </c>
      <c r="F1772" t="str">
        <f>HYPERLINK("http://www.sec.gov/Archives/edgar/data/798081/0001144204-16-095568-index.html")</f>
        <v>http://www.sec.gov/Archives/edgar/data/798081/0001144204-16-095568-index.html</v>
      </c>
    </row>
    <row r="1773" spans="1:6" x14ac:dyDescent="0.2">
      <c r="A1773" t="s">
        <v>1618</v>
      </c>
      <c r="B1773" s="1">
        <v>8947</v>
      </c>
      <c r="C1773" s="1">
        <v>3640</v>
      </c>
      <c r="D1773" s="2">
        <v>42481</v>
      </c>
      <c r="E1773" s="1" t="s">
        <v>18</v>
      </c>
      <c r="F1773" t="str">
        <f>HYPERLINK("http://www.sec.gov/Archives/edgar/data/8947/0000008947-16-000189-index.html")</f>
        <v>http://www.sec.gov/Archives/edgar/data/8947/0000008947-16-000189-index.html</v>
      </c>
    </row>
    <row r="1774" spans="1:6" x14ac:dyDescent="0.2">
      <c r="A1774" t="s">
        <v>1619</v>
      </c>
      <c r="B1774" s="1">
        <v>1008586</v>
      </c>
      <c r="C1774" s="1">
        <v>7373</v>
      </c>
      <c r="D1774" s="2">
        <v>42480</v>
      </c>
      <c r="E1774" s="1" t="s">
        <v>18</v>
      </c>
      <c r="F1774" t="str">
        <f>HYPERLINK("http://www.sec.gov/Archives/edgar/data/1008586/0001628280-16-014497-index.html")</f>
        <v>http://www.sec.gov/Archives/edgar/data/1008586/0001628280-16-014497-index.html</v>
      </c>
    </row>
    <row r="1775" spans="1:6" x14ac:dyDescent="0.2">
      <c r="A1775" t="s">
        <v>1550</v>
      </c>
      <c r="B1775" s="1">
        <v>1128361</v>
      </c>
      <c r="C1775" s="1">
        <v>6021</v>
      </c>
      <c r="D1775" s="2">
        <v>42480</v>
      </c>
      <c r="E1775" s="1" t="s">
        <v>42</v>
      </c>
      <c r="F1775" t="str">
        <f>HYPERLINK("http://www.sec.gov/Archives/edgar/data/1128361/0001128361-16-000064-index.html")</f>
        <v>http://www.sec.gov/Archives/edgar/data/1128361/0001128361-16-000064-index.html</v>
      </c>
    </row>
    <row r="1776" spans="1:6" x14ac:dyDescent="0.2">
      <c r="A1776" t="s">
        <v>1620</v>
      </c>
      <c r="B1776" s="1">
        <v>1322554</v>
      </c>
      <c r="C1776" s="1">
        <v>7372</v>
      </c>
      <c r="D1776" s="2">
        <v>42480</v>
      </c>
      <c r="E1776" s="1" t="s">
        <v>18</v>
      </c>
      <c r="F1776" t="str">
        <f>HYPERLINK("http://www.sec.gov/Archives/edgar/data/1322554/0001564590-16-016412-index.html")</f>
        <v>http://www.sec.gov/Archives/edgar/data/1322554/0001564590-16-016412-index.html</v>
      </c>
    </row>
    <row r="1777" spans="1:6" x14ac:dyDescent="0.2">
      <c r="A1777" t="s">
        <v>1621</v>
      </c>
      <c r="B1777" s="1">
        <v>1388180</v>
      </c>
      <c r="C1777" s="1">
        <v>3540</v>
      </c>
      <c r="D1777" s="2">
        <v>42480</v>
      </c>
      <c r="E1777" s="1" t="s">
        <v>18</v>
      </c>
      <c r="F1777" t="str">
        <f>HYPERLINK("http://www.sec.gov/Archives/edgar/data/1388180/0001493152-16-009076-index.html")</f>
        <v>http://www.sec.gov/Archives/edgar/data/1388180/0001493152-16-009076-index.html</v>
      </c>
    </row>
    <row r="1778" spans="1:6" x14ac:dyDescent="0.2">
      <c r="A1778" t="s">
        <v>1622</v>
      </c>
      <c r="B1778" s="1">
        <v>1391407</v>
      </c>
      <c r="C1778" s="1">
        <v>2860</v>
      </c>
      <c r="D1778" s="2">
        <v>42480</v>
      </c>
      <c r="E1778" s="1" t="s">
        <v>18</v>
      </c>
      <c r="F1778" t="str">
        <f>HYPERLINK("http://www.sec.gov/Archives/edgar/data/1391407/0001185185-16-004304-index.html")</f>
        <v>http://www.sec.gov/Archives/edgar/data/1391407/0001185185-16-004304-index.html</v>
      </c>
    </row>
    <row r="1779" spans="1:6" x14ac:dyDescent="0.2">
      <c r="A1779" t="s">
        <v>1623</v>
      </c>
      <c r="B1779" s="1">
        <v>1418780</v>
      </c>
      <c r="C1779" s="1">
        <v>3640</v>
      </c>
      <c r="D1779" s="2">
        <v>42480</v>
      </c>
      <c r="E1779" s="1" t="s">
        <v>42</v>
      </c>
      <c r="F1779" t="str">
        <f>HYPERLINK("http://www.sec.gov/Archives/edgar/data/1418780/0001418780-16-000029-index.html")</f>
        <v>http://www.sec.gov/Archives/edgar/data/1418780/0001418780-16-000029-index.html</v>
      </c>
    </row>
    <row r="1780" spans="1:6" x14ac:dyDescent="0.2">
      <c r="A1780" t="s">
        <v>1624</v>
      </c>
      <c r="B1780" s="1">
        <v>1422059</v>
      </c>
      <c r="C1780" s="1">
        <v>2200</v>
      </c>
      <c r="D1780" s="2">
        <v>42480</v>
      </c>
      <c r="E1780" s="1" t="s">
        <v>18</v>
      </c>
      <c r="F1780" t="str">
        <f>HYPERLINK("http://www.sec.gov/Archives/edgar/data/1422059/0001663577-16-000119-index.html")</f>
        <v>http://www.sec.gov/Archives/edgar/data/1422059/0001663577-16-000119-index.html</v>
      </c>
    </row>
    <row r="1781" spans="1:6" x14ac:dyDescent="0.2">
      <c r="A1781" t="s">
        <v>1625</v>
      </c>
      <c r="B1781" s="1">
        <v>1474167</v>
      </c>
      <c r="C1781" s="1">
        <v>6500</v>
      </c>
      <c r="D1781" s="2">
        <v>42480</v>
      </c>
      <c r="E1781" s="1" t="s">
        <v>18</v>
      </c>
      <c r="F1781" t="str">
        <f>HYPERLINK("http://www.sec.gov/Archives/edgar/data/1474167/0001477932-16-009868-index.html")</f>
        <v>http://www.sec.gov/Archives/edgar/data/1474167/0001477932-16-009868-index.html</v>
      </c>
    </row>
    <row r="1782" spans="1:6" x14ac:dyDescent="0.2">
      <c r="A1782" t="s">
        <v>1626</v>
      </c>
      <c r="B1782" s="1">
        <v>1493563</v>
      </c>
      <c r="C1782" s="1">
        <v>7389</v>
      </c>
      <c r="D1782" s="2">
        <v>42480</v>
      </c>
      <c r="E1782" s="1" t="s">
        <v>42</v>
      </c>
      <c r="F1782" t="str">
        <f>HYPERLINK("http://www.sec.gov/Archives/edgar/data/1493563/0001493152-16-009075-index.html")</f>
        <v>http://www.sec.gov/Archives/edgar/data/1493563/0001493152-16-009075-index.html</v>
      </c>
    </row>
    <row r="1783" spans="1:6" x14ac:dyDescent="0.2">
      <c r="A1783" t="s">
        <v>1627</v>
      </c>
      <c r="B1783" s="1">
        <v>1550377</v>
      </c>
      <c r="C1783" s="1">
        <v>7359</v>
      </c>
      <c r="D1783" s="2">
        <v>42480</v>
      </c>
      <c r="E1783" s="1" t="s">
        <v>18</v>
      </c>
      <c r="F1783" t="str">
        <f>HYPERLINK("http://www.sec.gov/Archives/edgar/data/1550377/0001550377-16-000016-index.html")</f>
        <v>http://www.sec.gov/Archives/edgar/data/1550377/0001550377-16-000016-index.html</v>
      </c>
    </row>
    <row r="1784" spans="1:6" x14ac:dyDescent="0.2">
      <c r="A1784" t="s">
        <v>1628</v>
      </c>
      <c r="B1784" s="1">
        <v>1569055</v>
      </c>
      <c r="C1784" s="1">
        <v>4911</v>
      </c>
      <c r="D1784" s="2">
        <v>42480</v>
      </c>
      <c r="E1784" s="1" t="s">
        <v>18</v>
      </c>
      <c r="F1784" t="str">
        <f>HYPERLINK("http://www.sec.gov/Archives/edgar/data/1569055/0001493152-16-009073-index.html")</f>
        <v>http://www.sec.gov/Archives/edgar/data/1569055/0001493152-16-009073-index.html</v>
      </c>
    </row>
    <row r="1785" spans="1:6" x14ac:dyDescent="0.2">
      <c r="A1785" t="s">
        <v>1629</v>
      </c>
      <c r="B1785" s="1">
        <v>318996</v>
      </c>
      <c r="C1785" s="1">
        <v>1389</v>
      </c>
      <c r="D1785" s="2">
        <v>42480</v>
      </c>
      <c r="E1785" s="1" t="s">
        <v>42</v>
      </c>
      <c r="F1785" t="str">
        <f>HYPERLINK("http://www.sec.gov/Archives/edgar/data/318996/0001193125-16-548388-index.html")</f>
        <v>http://www.sec.gov/Archives/edgar/data/318996/0001193125-16-548388-index.html</v>
      </c>
    </row>
    <row r="1786" spans="1:6" x14ac:dyDescent="0.2">
      <c r="A1786" t="s">
        <v>1630</v>
      </c>
      <c r="B1786" s="1">
        <v>730255</v>
      </c>
      <c r="C1786" s="1">
        <v>3663</v>
      </c>
      <c r="D1786" s="2">
        <v>42480</v>
      </c>
      <c r="E1786" s="1" t="s">
        <v>18</v>
      </c>
      <c r="F1786" t="str">
        <f>HYPERLINK("http://www.sec.gov/Archives/edgar/data/730255/0001206774-16-005479-index.html")</f>
        <v>http://www.sec.gov/Archives/edgar/data/730255/0001206774-16-005479-index.html</v>
      </c>
    </row>
    <row r="1787" spans="1:6" x14ac:dyDescent="0.2">
      <c r="A1787" t="s">
        <v>1631</v>
      </c>
      <c r="B1787" s="1">
        <v>1036478</v>
      </c>
      <c r="C1787" s="1">
        <v>4841</v>
      </c>
      <c r="D1787" s="2">
        <v>42479</v>
      </c>
      <c r="E1787" s="1" t="s">
        <v>18</v>
      </c>
      <c r="F1787" t="str">
        <f>HYPERLINK("http://www.sec.gov/Archives/edgar/data/1036478/0001551163-16-000358-index.html")</f>
        <v>http://www.sec.gov/Archives/edgar/data/1036478/0001551163-16-000358-index.html</v>
      </c>
    </row>
    <row r="1788" spans="1:6" x14ac:dyDescent="0.2">
      <c r="A1788" t="s">
        <v>1632</v>
      </c>
      <c r="B1788" s="1">
        <v>1107796</v>
      </c>
      <c r="C1788" s="1">
        <v>7200</v>
      </c>
      <c r="D1788" s="2">
        <v>42479</v>
      </c>
      <c r="E1788" s="1" t="s">
        <v>18</v>
      </c>
      <c r="F1788" t="str">
        <f>HYPERLINK("http://www.sec.gov/Archives/edgar/data/1107796/0001615774-16-005017-index.html")</f>
        <v>http://www.sec.gov/Archives/edgar/data/1107796/0001615774-16-005017-index.html</v>
      </c>
    </row>
    <row r="1789" spans="1:6" x14ac:dyDescent="0.2">
      <c r="A1789" t="s">
        <v>1633</v>
      </c>
      <c r="B1789" s="1">
        <v>1109196</v>
      </c>
      <c r="C1789" s="1">
        <v>2834</v>
      </c>
      <c r="D1789" s="2">
        <v>42479</v>
      </c>
      <c r="E1789" s="1" t="s">
        <v>42</v>
      </c>
      <c r="F1789" t="str">
        <f>HYPERLINK("http://www.sec.gov/Archives/edgar/data/1109196/0001415889-16-005560-index.html")</f>
        <v>http://www.sec.gov/Archives/edgar/data/1109196/0001415889-16-005560-index.html</v>
      </c>
    </row>
    <row r="1790" spans="1:6" x14ac:dyDescent="0.2">
      <c r="A1790" t="s">
        <v>497</v>
      </c>
      <c r="B1790" s="1">
        <v>1437517</v>
      </c>
      <c r="C1790" s="1">
        <v>7372</v>
      </c>
      <c r="D1790" s="2">
        <v>42479</v>
      </c>
      <c r="E1790" s="1" t="s">
        <v>42</v>
      </c>
      <c r="F1790" t="str">
        <f>HYPERLINK("http://www.sec.gov/Archives/edgar/data/1437517/0001010549-16-000580-index.html")</f>
        <v>http://www.sec.gov/Archives/edgar/data/1437517/0001010549-16-000580-index.html</v>
      </c>
    </row>
    <row r="1791" spans="1:6" x14ac:dyDescent="0.2">
      <c r="A1791" t="s">
        <v>1634</v>
      </c>
      <c r="B1791" s="1">
        <v>1465509</v>
      </c>
      <c r="C1791" s="1">
        <v>7372</v>
      </c>
      <c r="D1791" s="2">
        <v>42479</v>
      </c>
      <c r="E1791" s="1" t="s">
        <v>18</v>
      </c>
      <c r="F1791" t="str">
        <f>HYPERLINK("http://www.sec.gov/Archives/edgar/data/1465509/0001144204-16-094963-index.html")</f>
        <v>http://www.sec.gov/Archives/edgar/data/1465509/0001144204-16-094963-index.html</v>
      </c>
    </row>
    <row r="1792" spans="1:6" x14ac:dyDescent="0.2">
      <c r="A1792" t="s">
        <v>1635</v>
      </c>
      <c r="B1792" s="1">
        <v>1515156</v>
      </c>
      <c r="C1792" s="1">
        <v>2890</v>
      </c>
      <c r="D1792" s="2">
        <v>42479</v>
      </c>
      <c r="E1792" s="1" t="s">
        <v>18</v>
      </c>
      <c r="F1792" t="str">
        <f>HYPERLINK("http://www.sec.gov/Archives/edgar/data/1515156/0001515156-16-000095-index.html")</f>
        <v>http://www.sec.gov/Archives/edgar/data/1515156/0001515156-16-000095-index.html</v>
      </c>
    </row>
    <row r="1793" spans="1:6" x14ac:dyDescent="0.2">
      <c r="A1793" t="s">
        <v>1636</v>
      </c>
      <c r="B1793" s="1">
        <v>1558465</v>
      </c>
      <c r="C1793" s="1">
        <v>7370</v>
      </c>
      <c r="D1793" s="2">
        <v>42479</v>
      </c>
      <c r="E1793" s="1" t="s">
        <v>18</v>
      </c>
      <c r="F1793" t="str">
        <f>HYPERLINK("http://www.sec.gov/Archives/edgar/data/1558465/0001554795-16-000639-index.html")</f>
        <v>http://www.sec.gov/Archives/edgar/data/1558465/0001554795-16-000639-index.html</v>
      </c>
    </row>
    <row r="1794" spans="1:6" x14ac:dyDescent="0.2">
      <c r="A1794" t="s">
        <v>1637</v>
      </c>
      <c r="B1794" s="1">
        <v>1580490</v>
      </c>
      <c r="C1794" s="1">
        <v>2082</v>
      </c>
      <c r="D1794" s="2">
        <v>42479</v>
      </c>
      <c r="E1794" s="1" t="s">
        <v>18</v>
      </c>
      <c r="F1794" t="str">
        <f>HYPERLINK("http://www.sec.gov/Archives/edgar/data/1580490/0001213900-16-012644-index.html")</f>
        <v>http://www.sec.gov/Archives/edgar/data/1580490/0001213900-16-012644-index.html</v>
      </c>
    </row>
    <row r="1795" spans="1:6" x14ac:dyDescent="0.2">
      <c r="A1795" t="s">
        <v>1638</v>
      </c>
      <c r="B1795" s="1">
        <v>822997</v>
      </c>
      <c r="C1795" s="1">
        <v>5080</v>
      </c>
      <c r="D1795" s="2">
        <v>42479</v>
      </c>
      <c r="E1795" s="1" t="s">
        <v>18</v>
      </c>
      <c r="F1795" t="str">
        <f>HYPERLINK("http://www.sec.gov/Archives/edgar/data/822997/0001019687-16-005929-index.html")</f>
        <v>http://www.sec.gov/Archives/edgar/data/822997/0001019687-16-005929-index.html</v>
      </c>
    </row>
    <row r="1796" spans="1:6" x14ac:dyDescent="0.2">
      <c r="A1796" t="s">
        <v>1477</v>
      </c>
      <c r="B1796" s="1">
        <v>931059</v>
      </c>
      <c r="C1796" s="1">
        <v>7374</v>
      </c>
      <c r="D1796" s="2">
        <v>42479</v>
      </c>
      <c r="E1796" s="1" t="s">
        <v>18</v>
      </c>
      <c r="F1796" t="str">
        <f>HYPERLINK("http://www.sec.gov/Archives/edgar/data/931059/0001019687-16-005919-index.html")</f>
        <v>http://www.sec.gov/Archives/edgar/data/931059/0001019687-16-005919-index.html</v>
      </c>
    </row>
    <row r="1797" spans="1:6" x14ac:dyDescent="0.2">
      <c r="A1797" t="s">
        <v>1639</v>
      </c>
      <c r="B1797" s="1">
        <v>1077183</v>
      </c>
      <c r="C1797" s="1">
        <v>8734</v>
      </c>
      <c r="D1797" s="2">
        <v>42478</v>
      </c>
      <c r="E1797" s="1" t="s">
        <v>42</v>
      </c>
      <c r="F1797" t="str">
        <f>HYPERLINK("http://www.sec.gov/Archives/edgar/data/1077183/0001564590-16-016328-index.html")</f>
        <v>http://www.sec.gov/Archives/edgar/data/1077183/0001564590-16-016328-index.html</v>
      </c>
    </row>
    <row r="1798" spans="1:6" x14ac:dyDescent="0.2">
      <c r="A1798" t="s">
        <v>1640</v>
      </c>
      <c r="B1798" s="1">
        <v>1080319</v>
      </c>
      <c r="C1798" s="1">
        <v>6500</v>
      </c>
      <c r="D1798" s="2">
        <v>42478</v>
      </c>
      <c r="E1798" s="1" t="s">
        <v>42</v>
      </c>
      <c r="F1798" t="str">
        <f>HYPERLINK("http://www.sec.gov/Archives/edgar/data/1080319/0001017386-16-000420-index.html")</f>
        <v>http://www.sec.gov/Archives/edgar/data/1080319/0001017386-16-000420-index.html</v>
      </c>
    </row>
    <row r="1799" spans="1:6" x14ac:dyDescent="0.2">
      <c r="A1799" t="s">
        <v>1333</v>
      </c>
      <c r="B1799" s="1">
        <v>1165639</v>
      </c>
      <c r="C1799" s="1">
        <v>7381</v>
      </c>
      <c r="D1799" s="2">
        <v>42478</v>
      </c>
      <c r="E1799" s="1" t="s">
        <v>18</v>
      </c>
      <c r="F1799" t="str">
        <f>HYPERLINK("http://www.sec.gov/Archives/edgar/data/1165639/0001078782-16-002660-index.html")</f>
        <v>http://www.sec.gov/Archives/edgar/data/1165639/0001078782-16-002660-index.html</v>
      </c>
    </row>
    <row r="1800" spans="1:6" x14ac:dyDescent="0.2">
      <c r="A1800" t="s">
        <v>1641</v>
      </c>
      <c r="B1800" s="1">
        <v>1369774</v>
      </c>
      <c r="C1800" s="1">
        <v>3081</v>
      </c>
      <c r="D1800" s="2">
        <v>42478</v>
      </c>
      <c r="E1800" s="1" t="s">
        <v>18</v>
      </c>
      <c r="F1800" t="str">
        <f>HYPERLINK("http://www.sec.gov/Archives/edgar/data/1369774/0001062993-16-009021-index.html")</f>
        <v>http://www.sec.gov/Archives/edgar/data/1369774/0001062993-16-009021-index.html</v>
      </c>
    </row>
    <row r="1801" spans="1:6" x14ac:dyDescent="0.2">
      <c r="A1801" t="s">
        <v>1642</v>
      </c>
      <c r="B1801" s="1">
        <v>1428397</v>
      </c>
      <c r="C1801" s="1">
        <v>7310</v>
      </c>
      <c r="D1801" s="2">
        <v>42478</v>
      </c>
      <c r="E1801" s="1" t="s">
        <v>42</v>
      </c>
      <c r="F1801" t="str">
        <f>HYPERLINK("http://www.sec.gov/Archives/edgar/data/1428397/0001493152-16-009036-index.html")</f>
        <v>http://www.sec.gov/Archives/edgar/data/1428397/0001493152-16-009036-index.html</v>
      </c>
    </row>
    <row r="1802" spans="1:6" x14ac:dyDescent="0.2">
      <c r="A1802" t="s">
        <v>1643</v>
      </c>
      <c r="B1802" s="1">
        <v>1532882</v>
      </c>
      <c r="C1802" s="1">
        <v>7389</v>
      </c>
      <c r="D1802" s="2">
        <v>42478</v>
      </c>
      <c r="E1802" s="1" t="s">
        <v>18</v>
      </c>
      <c r="F1802" t="str">
        <f>HYPERLINK("http://www.sec.gov/Archives/edgar/data/1532882/0001014897-16-000529-index.html")</f>
        <v>http://www.sec.gov/Archives/edgar/data/1532882/0001014897-16-000529-index.html</v>
      </c>
    </row>
    <row r="1803" spans="1:6" x14ac:dyDescent="0.2">
      <c r="A1803" t="s">
        <v>1644</v>
      </c>
      <c r="B1803" s="1">
        <v>1641129</v>
      </c>
      <c r="C1803" s="1">
        <v>7374</v>
      </c>
      <c r="D1803" s="2">
        <v>42478</v>
      </c>
      <c r="E1803" s="1" t="s">
        <v>42</v>
      </c>
      <c r="F1803" t="str">
        <f>HYPERLINK("http://www.sec.gov/Archives/edgar/data/1641129/0001615774-16-005011-index.html")</f>
        <v>http://www.sec.gov/Archives/edgar/data/1641129/0001615774-16-005011-index.html</v>
      </c>
    </row>
    <row r="1804" spans="1:6" x14ac:dyDescent="0.2">
      <c r="A1804" t="s">
        <v>1645</v>
      </c>
      <c r="B1804" s="1">
        <v>1658432</v>
      </c>
      <c r="C1804" s="1">
        <v>8011</v>
      </c>
      <c r="D1804" s="2">
        <v>42478</v>
      </c>
      <c r="E1804" s="1" t="s">
        <v>18</v>
      </c>
      <c r="F1804" t="str">
        <f>HYPERLINK("http://www.sec.gov/Archives/edgar/data/1658432/0001640334-16-000970-index.html")</f>
        <v>http://www.sec.gov/Archives/edgar/data/1658432/0001640334-16-000970-index.html</v>
      </c>
    </row>
    <row r="1805" spans="1:6" x14ac:dyDescent="0.2">
      <c r="A1805" t="s">
        <v>1646</v>
      </c>
      <c r="B1805" s="1">
        <v>278165</v>
      </c>
      <c r="C1805" s="1">
        <v>7373</v>
      </c>
      <c r="D1805" s="2">
        <v>42478</v>
      </c>
      <c r="E1805" s="1" t="s">
        <v>18</v>
      </c>
      <c r="F1805" t="str">
        <f>HYPERLINK("http://www.sec.gov/Archives/edgar/data/278165/0001493152-16-009032-index.html")</f>
        <v>http://www.sec.gov/Archives/edgar/data/278165/0001493152-16-009032-index.html</v>
      </c>
    </row>
    <row r="1806" spans="1:6" x14ac:dyDescent="0.2">
      <c r="A1806" t="s">
        <v>1647</v>
      </c>
      <c r="B1806" s="1">
        <v>792935</v>
      </c>
      <c r="C1806" s="1">
        <v>8062</v>
      </c>
      <c r="D1806" s="2">
        <v>42478</v>
      </c>
      <c r="E1806" s="1" t="s">
        <v>42</v>
      </c>
      <c r="F1806" t="str">
        <f>HYPERLINK("http://www.sec.gov/Archives/edgar/data/792935/0000721748-16-001202-index.html")</f>
        <v>http://www.sec.gov/Archives/edgar/data/792935/0000721748-16-001202-index.html</v>
      </c>
    </row>
    <row r="1807" spans="1:6" x14ac:dyDescent="0.2">
      <c r="A1807" t="s">
        <v>1648</v>
      </c>
      <c r="B1807" s="1">
        <v>943535</v>
      </c>
      <c r="C1807" s="1">
        <v>2860</v>
      </c>
      <c r="D1807" s="2">
        <v>42478</v>
      </c>
      <c r="E1807" s="1" t="s">
        <v>18</v>
      </c>
      <c r="F1807" t="str">
        <f>HYPERLINK("http://www.sec.gov/Archives/edgar/data/943535/0001493152-16-009016-index.html")</f>
        <v>http://www.sec.gov/Archives/edgar/data/943535/0001493152-16-009016-index.html</v>
      </c>
    </row>
    <row r="1808" spans="1:6" x14ac:dyDescent="0.2">
      <c r="A1808" t="s">
        <v>1649</v>
      </c>
      <c r="B1808" s="1">
        <v>100591</v>
      </c>
      <c r="C1808" s="1">
        <v>1700</v>
      </c>
      <c r="D1808" s="2">
        <v>42475</v>
      </c>
      <c r="E1808" s="1" t="s">
        <v>18</v>
      </c>
      <c r="F1808" t="str">
        <f>HYPERLINK("http://www.sec.gov/Archives/edgar/data/100591/0001104659-16-111566-index.html")</f>
        <v>http://www.sec.gov/Archives/edgar/data/100591/0001104659-16-111566-index.html</v>
      </c>
    </row>
    <row r="1809" spans="1:6" x14ac:dyDescent="0.2">
      <c r="A1809" t="s">
        <v>1650</v>
      </c>
      <c r="B1809" s="1">
        <v>1036188</v>
      </c>
      <c r="C1809" s="1">
        <v>7372</v>
      </c>
      <c r="D1809" s="2">
        <v>42475</v>
      </c>
      <c r="E1809" s="1" t="s">
        <v>18</v>
      </c>
      <c r="F1809" t="str">
        <f>HYPERLINK("http://www.sec.gov/Archives/edgar/data/1036188/0001567619-16-002175-index.html")</f>
        <v>http://www.sec.gov/Archives/edgar/data/1036188/0001567619-16-002175-index.html</v>
      </c>
    </row>
    <row r="1810" spans="1:6" x14ac:dyDescent="0.2">
      <c r="A1810" t="s">
        <v>1651</v>
      </c>
      <c r="B1810" s="1">
        <v>1050825</v>
      </c>
      <c r="C1810" s="1">
        <v>2522</v>
      </c>
      <c r="D1810" s="2">
        <v>42475</v>
      </c>
      <c r="E1810" s="1" t="s">
        <v>18</v>
      </c>
      <c r="F1810" t="str">
        <f>HYPERLINK("http://www.sec.gov/Archives/edgar/data/1050825/0001050825-16-000276-index.html")</f>
        <v>http://www.sec.gov/Archives/edgar/data/1050825/0001050825-16-000276-index.html</v>
      </c>
    </row>
    <row r="1811" spans="1:6" x14ac:dyDescent="0.2">
      <c r="A1811" t="s">
        <v>1652</v>
      </c>
      <c r="B1811" s="1">
        <v>1062273</v>
      </c>
      <c r="C1811" s="1">
        <v>5990</v>
      </c>
      <c r="D1811" s="2">
        <v>42475</v>
      </c>
      <c r="E1811" s="1" t="s">
        <v>18</v>
      </c>
      <c r="F1811" t="str">
        <f>HYPERLINK("http://www.sec.gov/Archives/edgar/data/1062273/0001354488-16-007010-index.html")</f>
        <v>http://www.sec.gov/Archives/edgar/data/1062273/0001354488-16-007010-index.html</v>
      </c>
    </row>
    <row r="1812" spans="1:6" x14ac:dyDescent="0.2">
      <c r="A1812" t="s">
        <v>1653</v>
      </c>
      <c r="B1812" s="1">
        <v>1077370</v>
      </c>
      <c r="C1812" s="1">
        <v>7389</v>
      </c>
      <c r="D1812" s="2">
        <v>42475</v>
      </c>
      <c r="E1812" s="1" t="s">
        <v>18</v>
      </c>
      <c r="F1812" t="str">
        <f>HYPERLINK("http://www.sec.gov/Archives/edgar/data/1077370/0001437749-16-029533-index.html")</f>
        <v>http://www.sec.gov/Archives/edgar/data/1077370/0001437749-16-029533-index.html</v>
      </c>
    </row>
    <row r="1813" spans="1:6" x14ac:dyDescent="0.2">
      <c r="A1813" t="s">
        <v>1640</v>
      </c>
      <c r="B1813" s="1">
        <v>1080319</v>
      </c>
      <c r="C1813" s="1">
        <v>6500</v>
      </c>
      <c r="D1813" s="2">
        <v>42475</v>
      </c>
      <c r="E1813" s="1" t="s">
        <v>18</v>
      </c>
      <c r="F1813" t="str">
        <f>HYPERLINK("http://www.sec.gov/Archives/edgar/data/1080319/0001017386-16-000408-index.html")</f>
        <v>http://www.sec.gov/Archives/edgar/data/1080319/0001017386-16-000408-index.html</v>
      </c>
    </row>
    <row r="1814" spans="1:6" x14ac:dyDescent="0.2">
      <c r="A1814" t="s">
        <v>1654</v>
      </c>
      <c r="B1814" s="1">
        <v>1283810</v>
      </c>
      <c r="C1814" s="1">
        <v>1311</v>
      </c>
      <c r="D1814" s="2">
        <v>42475</v>
      </c>
      <c r="E1814" s="1" t="s">
        <v>18</v>
      </c>
      <c r="F1814" t="str">
        <f>HYPERLINK("http://www.sec.gov/Archives/edgar/data/1283810/0001564590-16-016251-index.html")</f>
        <v>http://www.sec.gov/Archives/edgar/data/1283810/0001564590-16-016251-index.html</v>
      </c>
    </row>
    <row r="1815" spans="1:6" x14ac:dyDescent="0.2">
      <c r="A1815" t="s">
        <v>1655</v>
      </c>
      <c r="B1815" s="1">
        <v>1294208</v>
      </c>
      <c r="C1815" s="1">
        <v>1311</v>
      </c>
      <c r="D1815" s="2">
        <v>42475</v>
      </c>
      <c r="E1815" s="1" t="s">
        <v>18</v>
      </c>
      <c r="F1815" t="str">
        <f>HYPERLINK("http://www.sec.gov/Archives/edgar/data/1294208/0001564590-16-016254-index.html")</f>
        <v>http://www.sec.gov/Archives/edgar/data/1294208/0001564590-16-016254-index.html</v>
      </c>
    </row>
    <row r="1816" spans="1:6" x14ac:dyDescent="0.2">
      <c r="A1816" t="s">
        <v>1656</v>
      </c>
      <c r="B1816" s="1">
        <v>1373444</v>
      </c>
      <c r="C1816" s="1">
        <v>4813</v>
      </c>
      <c r="D1816" s="2">
        <v>42475</v>
      </c>
      <c r="E1816" s="1" t="s">
        <v>18</v>
      </c>
      <c r="F1816" t="str">
        <f>HYPERLINK("http://www.sec.gov/Archives/edgar/data/1373444/0001493152-16-008988-index.html")</f>
        <v>http://www.sec.gov/Archives/edgar/data/1373444/0001493152-16-008988-index.html</v>
      </c>
    </row>
    <row r="1817" spans="1:6" x14ac:dyDescent="0.2">
      <c r="A1817" t="s">
        <v>563</v>
      </c>
      <c r="B1817" s="1">
        <v>1375348</v>
      </c>
      <c r="C1817" s="1">
        <v>1090</v>
      </c>
      <c r="D1817" s="2">
        <v>42475</v>
      </c>
      <c r="E1817" s="1" t="s">
        <v>42</v>
      </c>
      <c r="F1817" t="str">
        <f>HYPERLINK("http://www.sec.gov/Archives/edgar/data/1375348/0001493152-16-008952-index.html")</f>
        <v>http://www.sec.gov/Archives/edgar/data/1375348/0001493152-16-008952-index.html</v>
      </c>
    </row>
    <row r="1818" spans="1:6" x14ac:dyDescent="0.2">
      <c r="A1818" t="s">
        <v>1657</v>
      </c>
      <c r="B1818" s="1">
        <v>1381871</v>
      </c>
      <c r="C1818" s="1">
        <v>3751</v>
      </c>
      <c r="D1818" s="2">
        <v>42475</v>
      </c>
      <c r="E1818" s="1" t="s">
        <v>18</v>
      </c>
      <c r="F1818" t="str">
        <f>HYPERLINK("http://www.sec.gov/Archives/edgar/data/1381871/0001477932-16-009801-index.html")</f>
        <v>http://www.sec.gov/Archives/edgar/data/1381871/0001477932-16-009801-index.html</v>
      </c>
    </row>
    <row r="1819" spans="1:6" x14ac:dyDescent="0.2">
      <c r="A1819" t="s">
        <v>1658</v>
      </c>
      <c r="B1819" s="1">
        <v>1390312</v>
      </c>
      <c r="C1819" s="1">
        <v>6022</v>
      </c>
      <c r="D1819" s="2">
        <v>42475</v>
      </c>
      <c r="E1819" s="1" t="s">
        <v>42</v>
      </c>
      <c r="F1819" t="str">
        <f>HYPERLINK("http://www.sec.gov/Archives/edgar/data/1390312/0001104659-16-111758-index.html")</f>
        <v>http://www.sec.gov/Archives/edgar/data/1390312/0001104659-16-111758-index.html</v>
      </c>
    </row>
    <row r="1820" spans="1:6" x14ac:dyDescent="0.2">
      <c r="A1820" t="s">
        <v>1659</v>
      </c>
      <c r="B1820" s="1">
        <v>1390478</v>
      </c>
      <c r="C1820" s="1">
        <v>2834</v>
      </c>
      <c r="D1820" s="2">
        <v>42475</v>
      </c>
      <c r="E1820" s="1" t="s">
        <v>42</v>
      </c>
      <c r="F1820" t="str">
        <f>HYPERLINK("http://www.sec.gov/Archives/edgar/data/1390478/0001390478-16-000095-index.html")</f>
        <v>http://www.sec.gov/Archives/edgar/data/1390478/0001390478-16-000095-index.html</v>
      </c>
    </row>
    <row r="1821" spans="1:6" x14ac:dyDescent="0.2">
      <c r="A1821" t="s">
        <v>1660</v>
      </c>
      <c r="B1821" s="1">
        <v>1433833</v>
      </c>
      <c r="C1821" s="1">
        <v>1311</v>
      </c>
      <c r="D1821" s="2">
        <v>42475</v>
      </c>
      <c r="E1821" s="1" t="s">
        <v>18</v>
      </c>
      <c r="F1821" t="str">
        <f>HYPERLINK("http://www.sec.gov/Archives/edgar/data/1433833/0001564590-16-016256-index.html")</f>
        <v>http://www.sec.gov/Archives/edgar/data/1433833/0001564590-16-016256-index.html</v>
      </c>
    </row>
    <row r="1822" spans="1:6" x14ac:dyDescent="0.2">
      <c r="A1822" t="s">
        <v>1106</v>
      </c>
      <c r="B1822" s="1">
        <v>1440799</v>
      </c>
      <c r="C1822" s="1">
        <v>7819</v>
      </c>
      <c r="D1822" s="2">
        <v>42475</v>
      </c>
      <c r="E1822" s="1" t="s">
        <v>18</v>
      </c>
      <c r="F1822" t="str">
        <f>HYPERLINK("http://www.sec.gov/Archives/edgar/data/1440799/0001477932-16-009804-index.html")</f>
        <v>http://www.sec.gov/Archives/edgar/data/1440799/0001477932-16-009804-index.html</v>
      </c>
    </row>
    <row r="1823" spans="1:6" x14ac:dyDescent="0.2">
      <c r="A1823" t="s">
        <v>1555</v>
      </c>
      <c r="B1823" s="1">
        <v>1444839</v>
      </c>
      <c r="C1823" s="1">
        <v>1040</v>
      </c>
      <c r="D1823" s="2">
        <v>42475</v>
      </c>
      <c r="E1823" s="1" t="s">
        <v>42</v>
      </c>
      <c r="F1823" t="str">
        <f>HYPERLINK("http://www.sec.gov/Archives/edgar/data/1444839/0001091818-16-000268-index.html")</f>
        <v>http://www.sec.gov/Archives/edgar/data/1444839/0001091818-16-000268-index.html</v>
      </c>
    </row>
    <row r="1824" spans="1:6" x14ac:dyDescent="0.2">
      <c r="A1824" t="s">
        <v>1555</v>
      </c>
      <c r="B1824" s="1">
        <v>1444839</v>
      </c>
      <c r="C1824" s="1">
        <v>1040</v>
      </c>
      <c r="D1824" s="2">
        <v>42475</v>
      </c>
      <c r="E1824" s="1" t="s">
        <v>42</v>
      </c>
      <c r="F1824" t="str">
        <f>HYPERLINK("http://www.sec.gov/Archives/edgar/data/1444839/0001091818-16-000270-index.html")</f>
        <v>http://www.sec.gov/Archives/edgar/data/1444839/0001091818-16-000270-index.html</v>
      </c>
    </row>
    <row r="1825" spans="1:6" x14ac:dyDescent="0.2">
      <c r="A1825" t="s">
        <v>1661</v>
      </c>
      <c r="B1825" s="1">
        <v>1448705</v>
      </c>
      <c r="C1825" s="1">
        <v>7310</v>
      </c>
      <c r="D1825" s="2">
        <v>42475</v>
      </c>
      <c r="E1825" s="1" t="s">
        <v>18</v>
      </c>
      <c r="F1825" t="str">
        <f>HYPERLINK("http://www.sec.gov/Archives/edgar/data/1448705/0001553350-16-001903-index.html")</f>
        <v>http://www.sec.gov/Archives/edgar/data/1448705/0001553350-16-001903-index.html</v>
      </c>
    </row>
    <row r="1826" spans="1:6" x14ac:dyDescent="0.2">
      <c r="A1826" t="s">
        <v>1662</v>
      </c>
      <c r="B1826" s="1">
        <v>1482075</v>
      </c>
      <c r="C1826" s="1">
        <v>1311</v>
      </c>
      <c r="D1826" s="2">
        <v>42475</v>
      </c>
      <c r="E1826" s="1" t="s">
        <v>18</v>
      </c>
      <c r="F1826" t="str">
        <f>HYPERLINK("http://www.sec.gov/Archives/edgar/data/1482075/0001520138-16-000845-index.html")</f>
        <v>http://www.sec.gov/Archives/edgar/data/1482075/0001520138-16-000845-index.html</v>
      </c>
    </row>
    <row r="1827" spans="1:6" x14ac:dyDescent="0.2">
      <c r="A1827" t="s">
        <v>1663</v>
      </c>
      <c r="B1827" s="1">
        <v>1487931</v>
      </c>
      <c r="C1827" s="1">
        <v>6770</v>
      </c>
      <c r="D1827" s="2">
        <v>42475</v>
      </c>
      <c r="E1827" s="1" t="s">
        <v>18</v>
      </c>
      <c r="F1827" t="str">
        <f>HYPERLINK("http://www.sec.gov/Archives/edgar/data/1487931/0001477932-16-009814-index.html")</f>
        <v>http://www.sec.gov/Archives/edgar/data/1487931/0001477932-16-009814-index.html</v>
      </c>
    </row>
    <row r="1828" spans="1:6" x14ac:dyDescent="0.2">
      <c r="A1828" t="s">
        <v>1664</v>
      </c>
      <c r="B1828" s="1">
        <v>1510247</v>
      </c>
      <c r="C1828" s="1">
        <v>7374</v>
      </c>
      <c r="D1828" s="2">
        <v>42475</v>
      </c>
      <c r="E1828" s="1" t="s">
        <v>18</v>
      </c>
      <c r="F1828" t="str">
        <f>HYPERLINK("http://www.sec.gov/Archives/edgar/data/1510247/0001615774-16-004984-index.html")</f>
        <v>http://www.sec.gov/Archives/edgar/data/1510247/0001615774-16-004984-index.html</v>
      </c>
    </row>
    <row r="1829" spans="1:6" x14ac:dyDescent="0.2">
      <c r="A1829" t="s">
        <v>1665</v>
      </c>
      <c r="B1829" s="1">
        <v>1520528</v>
      </c>
      <c r="C1829" s="1">
        <v>6531</v>
      </c>
      <c r="D1829" s="2">
        <v>42475</v>
      </c>
      <c r="E1829" s="1" t="s">
        <v>42</v>
      </c>
      <c r="F1829" t="str">
        <f>HYPERLINK("http://www.sec.gov/Archives/edgar/data/1520528/0001173375-16-000183-index.html")</f>
        <v>http://www.sec.gov/Archives/edgar/data/1520528/0001173375-16-000183-index.html</v>
      </c>
    </row>
    <row r="1830" spans="1:6" x14ac:dyDescent="0.2">
      <c r="A1830" t="s">
        <v>1666</v>
      </c>
      <c r="B1830" s="1">
        <v>1524931</v>
      </c>
      <c r="C1830" s="1">
        <v>5812</v>
      </c>
      <c r="D1830" s="2">
        <v>42475</v>
      </c>
      <c r="E1830" s="1" t="s">
        <v>42</v>
      </c>
      <c r="F1830" t="str">
        <f>HYPERLINK("http://www.sec.gov/Archives/edgar/data/1524931/0001524931-16-000130-index.html")</f>
        <v>http://www.sec.gov/Archives/edgar/data/1524931/0001524931-16-000130-index.html</v>
      </c>
    </row>
    <row r="1831" spans="1:6" x14ac:dyDescent="0.2">
      <c r="A1831" t="s">
        <v>1614</v>
      </c>
      <c r="B1831" s="1">
        <v>1533427</v>
      </c>
      <c r="C1831" s="1">
        <v>7389</v>
      </c>
      <c r="D1831" s="2">
        <v>42475</v>
      </c>
      <c r="E1831" s="1" t="s">
        <v>18</v>
      </c>
      <c r="F1831" t="str">
        <f>HYPERLINK("http://www.sec.gov/Archives/edgar/data/1533427/0001127855-16-000591-index.html")</f>
        <v>http://www.sec.gov/Archives/edgar/data/1533427/0001127855-16-000591-index.html</v>
      </c>
    </row>
    <row r="1832" spans="1:6" x14ac:dyDescent="0.2">
      <c r="A1832" t="s">
        <v>1426</v>
      </c>
      <c r="B1832" s="1">
        <v>1541354</v>
      </c>
      <c r="C1832" s="1">
        <v>6221</v>
      </c>
      <c r="D1832" s="2">
        <v>42475</v>
      </c>
      <c r="E1832" s="1" t="s">
        <v>18</v>
      </c>
      <c r="F1832" t="str">
        <f>HYPERLINK("http://www.sec.gov/Archives/edgar/data/1541354/0001493152-16-008948-index.html")</f>
        <v>http://www.sec.gov/Archives/edgar/data/1541354/0001493152-16-008948-index.html</v>
      </c>
    </row>
    <row r="1833" spans="1:6" x14ac:dyDescent="0.2">
      <c r="A1833" t="s">
        <v>1667</v>
      </c>
      <c r="B1833" s="1">
        <v>1544861</v>
      </c>
      <c r="C1833" s="1">
        <v>2060</v>
      </c>
      <c r="D1833" s="2">
        <v>42475</v>
      </c>
      <c r="E1833" s="1" t="s">
        <v>18</v>
      </c>
      <c r="F1833" t="str">
        <f>HYPERLINK("http://www.sec.gov/Archives/edgar/data/1544861/0001477932-16-009794-index.html")</f>
        <v>http://www.sec.gov/Archives/edgar/data/1544861/0001477932-16-009794-index.html</v>
      </c>
    </row>
    <row r="1834" spans="1:6" x14ac:dyDescent="0.2">
      <c r="A1834" t="s">
        <v>1668</v>
      </c>
      <c r="B1834" s="1">
        <v>1546381</v>
      </c>
      <c r="C1834" s="1">
        <v>7822</v>
      </c>
      <c r="D1834" s="2">
        <v>42475</v>
      </c>
      <c r="E1834" s="1" t="s">
        <v>18</v>
      </c>
      <c r="F1834" t="str">
        <f>HYPERLINK("http://www.sec.gov/Archives/edgar/data/1546381/0001564590-16-016294-index.html")</f>
        <v>http://www.sec.gov/Archives/edgar/data/1546381/0001564590-16-016294-index.html</v>
      </c>
    </row>
    <row r="1835" spans="1:6" x14ac:dyDescent="0.2">
      <c r="A1835" t="s">
        <v>1669</v>
      </c>
      <c r="B1835" s="1">
        <v>1547015</v>
      </c>
      <c r="C1835" s="1">
        <v>3523</v>
      </c>
      <c r="D1835" s="2">
        <v>42475</v>
      </c>
      <c r="E1835" s="1" t="s">
        <v>18</v>
      </c>
      <c r="F1835" t="str">
        <f>HYPERLINK("http://www.sec.gov/Archives/edgar/data/1547015/0001017386-16-000410-index.html")</f>
        <v>http://www.sec.gov/Archives/edgar/data/1547015/0001017386-16-000410-index.html</v>
      </c>
    </row>
    <row r="1836" spans="1:6" x14ac:dyDescent="0.2">
      <c r="A1836" t="s">
        <v>1670</v>
      </c>
      <c r="B1836" s="1">
        <v>1547716</v>
      </c>
      <c r="C1836" s="1">
        <v>4931</v>
      </c>
      <c r="D1836" s="2">
        <v>42475</v>
      </c>
      <c r="E1836" s="1" t="s">
        <v>18</v>
      </c>
      <c r="F1836" t="str">
        <f>HYPERLINK("http://www.sec.gov/Archives/edgar/data/1547716/0001477932-16-009826-index.html")</f>
        <v>http://www.sec.gov/Archives/edgar/data/1547716/0001477932-16-009826-index.html</v>
      </c>
    </row>
    <row r="1837" spans="1:6" x14ac:dyDescent="0.2">
      <c r="A1837" t="s">
        <v>1265</v>
      </c>
      <c r="B1837" s="1">
        <v>1611046</v>
      </c>
      <c r="C1837" s="1">
        <v>7000</v>
      </c>
      <c r="D1837" s="2">
        <v>42475</v>
      </c>
      <c r="E1837" s="1" t="s">
        <v>18</v>
      </c>
      <c r="F1837" t="str">
        <f>HYPERLINK("http://www.sec.gov/Archives/edgar/data/1611046/0001570931-16-000050-index.html")</f>
        <v>http://www.sec.gov/Archives/edgar/data/1611046/0001570931-16-000050-index.html</v>
      </c>
    </row>
    <row r="1838" spans="1:6" x14ac:dyDescent="0.2">
      <c r="A1838" t="s">
        <v>1580</v>
      </c>
      <c r="B1838" s="1">
        <v>1612254</v>
      </c>
      <c r="C1838" s="1">
        <v>6770</v>
      </c>
      <c r="D1838" s="2">
        <v>42475</v>
      </c>
      <c r="E1838" s="1" t="s">
        <v>18</v>
      </c>
      <c r="F1838" t="str">
        <f>HYPERLINK("http://www.sec.gov/Archives/edgar/data/1612254/0001659173-16-000246-index.html")</f>
        <v>http://www.sec.gov/Archives/edgar/data/1612254/0001659173-16-000246-index.html</v>
      </c>
    </row>
    <row r="1839" spans="1:6" x14ac:dyDescent="0.2">
      <c r="A1839" t="s">
        <v>1671</v>
      </c>
      <c r="B1839" s="1">
        <v>1623019</v>
      </c>
      <c r="C1839" s="1">
        <v>6770</v>
      </c>
      <c r="D1839" s="2">
        <v>42475</v>
      </c>
      <c r="E1839" s="1" t="s">
        <v>18</v>
      </c>
      <c r="F1839" t="str">
        <f>HYPERLINK("http://www.sec.gov/Archives/edgar/data/1623019/0001144204-16-094589-index.html")</f>
        <v>http://www.sec.gov/Archives/edgar/data/1623019/0001144204-16-094589-index.html</v>
      </c>
    </row>
    <row r="1840" spans="1:6" x14ac:dyDescent="0.2">
      <c r="A1840" t="s">
        <v>1672</v>
      </c>
      <c r="B1840" s="1">
        <v>1632275</v>
      </c>
      <c r="C1840" s="1">
        <v>6770</v>
      </c>
      <c r="D1840" s="2">
        <v>42475</v>
      </c>
      <c r="E1840" s="1" t="s">
        <v>18</v>
      </c>
      <c r="F1840" t="str">
        <f>HYPERLINK("http://www.sec.gov/Archives/edgar/data/1632275/0001262463-16-000915-index.html")</f>
        <v>http://www.sec.gov/Archives/edgar/data/1632275/0001262463-16-000915-index.html</v>
      </c>
    </row>
    <row r="1841" spans="1:6" x14ac:dyDescent="0.2">
      <c r="A1841" t="s">
        <v>1673</v>
      </c>
      <c r="B1841" s="1">
        <v>1643194</v>
      </c>
      <c r="C1841" s="1">
        <v>3949</v>
      </c>
      <c r="D1841" s="2">
        <v>42475</v>
      </c>
      <c r="E1841" s="1" t="s">
        <v>18</v>
      </c>
      <c r="F1841" t="str">
        <f>HYPERLINK("http://www.sec.gov/Archives/edgar/data/1643194/0001056520-16-000236-index.html")</f>
        <v>http://www.sec.gov/Archives/edgar/data/1643194/0001056520-16-000236-index.html</v>
      </c>
    </row>
    <row r="1842" spans="1:6" x14ac:dyDescent="0.2">
      <c r="A1842" t="s">
        <v>1674</v>
      </c>
      <c r="B1842" s="1">
        <v>727346</v>
      </c>
      <c r="C1842" s="1">
        <v>6798</v>
      </c>
      <c r="D1842" s="2">
        <v>42475</v>
      </c>
      <c r="E1842" s="1" t="s">
        <v>18</v>
      </c>
      <c r="F1842" t="str">
        <f>HYPERLINK("http://www.sec.gov/Archives/edgar/data/727346/0001376474-16-000655-index.html")</f>
        <v>http://www.sec.gov/Archives/edgar/data/727346/0001376474-16-000655-index.html</v>
      </c>
    </row>
    <row r="1843" spans="1:6" x14ac:dyDescent="0.2">
      <c r="A1843" t="s">
        <v>1675</v>
      </c>
      <c r="B1843" s="1">
        <v>838796</v>
      </c>
      <c r="C1843" s="1">
        <v>7372</v>
      </c>
      <c r="D1843" s="2">
        <v>42475</v>
      </c>
      <c r="E1843" s="1" t="s">
        <v>42</v>
      </c>
      <c r="F1843" t="str">
        <f>HYPERLINK("http://www.sec.gov/Archives/edgar/data/838796/0001607062-16-000793-index.html")</f>
        <v>http://www.sec.gov/Archives/edgar/data/838796/0001607062-16-000793-index.html</v>
      </c>
    </row>
    <row r="1844" spans="1:6" x14ac:dyDescent="0.2">
      <c r="A1844" t="s">
        <v>1676</v>
      </c>
      <c r="B1844" s="1">
        <v>845091</v>
      </c>
      <c r="C1844" s="1">
        <v>6311</v>
      </c>
      <c r="D1844" s="2">
        <v>42475</v>
      </c>
      <c r="E1844" s="1" t="s">
        <v>18</v>
      </c>
      <c r="F1844" t="str">
        <f>HYPERLINK("http://www.sec.gov/Archives/edgar/data/845091/0001193125-16-541697-index.html")</f>
        <v>http://www.sec.gov/Archives/edgar/data/845091/0001193125-16-541697-index.html</v>
      </c>
    </row>
    <row r="1845" spans="1:6" x14ac:dyDescent="0.2">
      <c r="A1845" t="s">
        <v>1677</v>
      </c>
      <c r="B1845" s="1">
        <v>924168</v>
      </c>
      <c r="C1845" s="1">
        <v>3640</v>
      </c>
      <c r="D1845" s="2">
        <v>42475</v>
      </c>
      <c r="E1845" s="1" t="s">
        <v>42</v>
      </c>
      <c r="F1845" t="str">
        <f>HYPERLINK("http://www.sec.gov/Archives/edgar/data/924168/0000924168-16-000026-index.html")</f>
        <v>http://www.sec.gov/Archives/edgar/data/924168/0000924168-16-000026-index.html</v>
      </c>
    </row>
    <row r="1846" spans="1:6" x14ac:dyDescent="0.2">
      <c r="A1846" t="s">
        <v>1678</v>
      </c>
      <c r="B1846" s="1">
        <v>946822</v>
      </c>
      <c r="C1846" s="1">
        <v>7359</v>
      </c>
      <c r="D1846" s="2">
        <v>42475</v>
      </c>
      <c r="E1846" s="1" t="s">
        <v>18</v>
      </c>
      <c r="F1846" t="str">
        <f>HYPERLINK("http://www.sec.gov/Archives/edgar/data/946822/0001477932-16-009825-index.html")</f>
        <v>http://www.sec.gov/Archives/edgar/data/946822/0001477932-16-009825-index.html</v>
      </c>
    </row>
    <row r="1847" spans="1:6" x14ac:dyDescent="0.2">
      <c r="A1847" t="s">
        <v>1679</v>
      </c>
      <c r="B1847" s="1">
        <v>1001601</v>
      </c>
      <c r="C1847" s="1">
        <v>6794</v>
      </c>
      <c r="D1847" s="2">
        <v>42474</v>
      </c>
      <c r="E1847" s="1" t="s">
        <v>18</v>
      </c>
      <c r="F1847" t="str">
        <f>HYPERLINK("http://www.sec.gov/Archives/edgar/data/1001601/0001013762-16-001482-index.html")</f>
        <v>http://www.sec.gov/Archives/edgar/data/1001601/0001013762-16-001482-index.html</v>
      </c>
    </row>
    <row r="1848" spans="1:6" x14ac:dyDescent="0.2">
      <c r="A1848" t="s">
        <v>1680</v>
      </c>
      <c r="B1848" s="1">
        <v>1010566</v>
      </c>
      <c r="C1848" s="1">
        <v>7389</v>
      </c>
      <c r="D1848" s="2">
        <v>42474</v>
      </c>
      <c r="E1848" s="1" t="s">
        <v>18</v>
      </c>
      <c r="F1848" t="str">
        <f>HYPERLINK("http://www.sec.gov/Archives/edgar/data/1010566/0001062993-16-008979-index.html")</f>
        <v>http://www.sec.gov/Archives/edgar/data/1010566/0001062993-16-008979-index.html</v>
      </c>
    </row>
    <row r="1849" spans="1:6" x14ac:dyDescent="0.2">
      <c r="A1849" t="s">
        <v>1681</v>
      </c>
      <c r="B1849" s="1">
        <v>1011395</v>
      </c>
      <c r="C1849" s="1">
        <v>7389</v>
      </c>
      <c r="D1849" s="2">
        <v>42474</v>
      </c>
      <c r="E1849" s="1" t="s">
        <v>18</v>
      </c>
      <c r="F1849" t="str">
        <f>HYPERLINK("http://www.sec.gov/Archives/edgar/data/1011395/0001387131-16-004994-index.html")</f>
        <v>http://www.sec.gov/Archives/edgar/data/1011395/0001387131-16-004994-index.html</v>
      </c>
    </row>
    <row r="1850" spans="1:6" x14ac:dyDescent="0.2">
      <c r="A1850" t="s">
        <v>1682</v>
      </c>
      <c r="B1850" s="1">
        <v>101594</v>
      </c>
      <c r="C1850" s="1">
        <v>1311</v>
      </c>
      <c r="D1850" s="2">
        <v>42474</v>
      </c>
      <c r="E1850" s="1" t="s">
        <v>18</v>
      </c>
      <c r="F1850" t="str">
        <f>HYPERLINK("http://www.sec.gov/Archives/edgar/data/101594/0001615774-16-004967-index.html")</f>
        <v>http://www.sec.gov/Archives/edgar/data/101594/0001615774-16-004967-index.html</v>
      </c>
    </row>
    <row r="1851" spans="1:6" x14ac:dyDescent="0.2">
      <c r="A1851" t="s">
        <v>1683</v>
      </c>
      <c r="B1851" s="1">
        <v>1017616</v>
      </c>
      <c r="C1851" s="1">
        <v>3942</v>
      </c>
      <c r="D1851" s="2">
        <v>42474</v>
      </c>
      <c r="E1851" s="1" t="s">
        <v>18</v>
      </c>
      <c r="F1851" t="str">
        <f>HYPERLINK("http://www.sec.gov/Archives/edgar/data/1017616/0001445866-16-001938-index.html")</f>
        <v>http://www.sec.gov/Archives/edgar/data/1017616/0001445866-16-001938-index.html</v>
      </c>
    </row>
    <row r="1852" spans="1:6" x14ac:dyDescent="0.2">
      <c r="A1852" t="s">
        <v>1684</v>
      </c>
      <c r="B1852" s="1">
        <v>102198</v>
      </c>
      <c r="C1852" s="1">
        <v>3841</v>
      </c>
      <c r="D1852" s="2">
        <v>42474</v>
      </c>
      <c r="E1852" s="1" t="s">
        <v>18</v>
      </c>
      <c r="F1852" t="str">
        <f>HYPERLINK("http://www.sec.gov/Archives/edgar/data/102198/0001615774-16-004969-index.html")</f>
        <v>http://www.sec.gov/Archives/edgar/data/102198/0001615774-16-004969-index.html</v>
      </c>
    </row>
    <row r="1853" spans="1:6" x14ac:dyDescent="0.2">
      <c r="A1853" t="s">
        <v>1685</v>
      </c>
      <c r="B1853" s="1">
        <v>1024628</v>
      </c>
      <c r="C1853" s="1">
        <v>3751</v>
      </c>
      <c r="D1853" s="2">
        <v>42474</v>
      </c>
      <c r="E1853" s="1" t="s">
        <v>18</v>
      </c>
      <c r="F1853" t="str">
        <f>HYPERLINK("http://www.sec.gov/Archives/edgar/data/1024628/0001214659-16-010866-index.html")</f>
        <v>http://www.sec.gov/Archives/edgar/data/1024628/0001214659-16-010866-index.html</v>
      </c>
    </row>
    <row r="1854" spans="1:6" x14ac:dyDescent="0.2">
      <c r="A1854" t="s">
        <v>1686</v>
      </c>
      <c r="B1854" s="1">
        <v>1030916</v>
      </c>
      <c r="C1854" s="1">
        <v>4911</v>
      </c>
      <c r="D1854" s="2">
        <v>42474</v>
      </c>
      <c r="E1854" s="1" t="s">
        <v>18</v>
      </c>
      <c r="F1854" t="str">
        <f>HYPERLINK("http://www.sec.gov/Archives/edgar/data/1030916/0001019687-16-005881-index.html")</f>
        <v>http://www.sec.gov/Archives/edgar/data/1030916/0001019687-16-005881-index.html</v>
      </c>
    </row>
    <row r="1855" spans="1:6" x14ac:dyDescent="0.2">
      <c r="A1855" t="s">
        <v>1687</v>
      </c>
      <c r="B1855" s="1">
        <v>1043222</v>
      </c>
      <c r="C1855" s="1">
        <v>6199</v>
      </c>
      <c r="D1855" s="2">
        <v>42474</v>
      </c>
      <c r="E1855" s="1" t="s">
        <v>18</v>
      </c>
      <c r="F1855" t="str">
        <f>HYPERLINK("http://www.sec.gov/Archives/edgar/data/1043222/0001144204-16-094217-index.html")</f>
        <v>http://www.sec.gov/Archives/edgar/data/1043222/0001144204-16-094217-index.html</v>
      </c>
    </row>
    <row r="1856" spans="1:6" x14ac:dyDescent="0.2">
      <c r="A1856" t="s">
        <v>1688</v>
      </c>
      <c r="B1856" s="1">
        <v>1043961</v>
      </c>
      <c r="C1856" s="1">
        <v>3826</v>
      </c>
      <c r="D1856" s="2">
        <v>42474</v>
      </c>
      <c r="E1856" s="1" t="s">
        <v>18</v>
      </c>
      <c r="F1856" t="str">
        <f>HYPERLINK("http://www.sec.gov/Archives/edgar/data/1043961/0001043961-16-000022-index.html")</f>
        <v>http://www.sec.gov/Archives/edgar/data/1043961/0001043961-16-000022-index.html</v>
      </c>
    </row>
    <row r="1857" spans="1:6" x14ac:dyDescent="0.2">
      <c r="A1857" t="s">
        <v>1689</v>
      </c>
      <c r="B1857" s="1">
        <v>1052257</v>
      </c>
      <c r="C1857" s="1">
        <v>2040</v>
      </c>
      <c r="D1857" s="2">
        <v>42474</v>
      </c>
      <c r="E1857" s="1" t="s">
        <v>18</v>
      </c>
      <c r="F1857" t="str">
        <f>HYPERLINK("http://www.sec.gov/Archives/edgar/data/1052257/0001140361-16-061137-index.html")</f>
        <v>http://www.sec.gov/Archives/edgar/data/1052257/0001140361-16-061137-index.html</v>
      </c>
    </row>
    <row r="1858" spans="1:6" x14ac:dyDescent="0.2">
      <c r="A1858" t="s">
        <v>1690</v>
      </c>
      <c r="B1858" s="1">
        <v>1070523</v>
      </c>
      <c r="C1858" s="1">
        <v>6022</v>
      </c>
      <c r="D1858" s="2">
        <v>42474</v>
      </c>
      <c r="E1858" s="1" t="s">
        <v>18</v>
      </c>
      <c r="F1858" t="str">
        <f>HYPERLINK("http://www.sec.gov/Archives/edgar/data/1070523/0001144204-16-094340-index.html")</f>
        <v>http://www.sec.gov/Archives/edgar/data/1070523/0001144204-16-094340-index.html</v>
      </c>
    </row>
    <row r="1859" spans="1:6" x14ac:dyDescent="0.2">
      <c r="A1859" t="s">
        <v>1691</v>
      </c>
      <c r="B1859" s="1">
        <v>1071760</v>
      </c>
      <c r="C1859" s="1">
        <v>3530</v>
      </c>
      <c r="D1859" s="2">
        <v>42474</v>
      </c>
      <c r="E1859" s="1" t="s">
        <v>18</v>
      </c>
      <c r="F1859" t="str">
        <f>HYPERLINK("http://www.sec.gov/Archives/edgar/data/1071760/0001553350-16-001894-index.html")</f>
        <v>http://www.sec.gov/Archives/edgar/data/1071760/0001553350-16-001894-index.html</v>
      </c>
    </row>
    <row r="1860" spans="1:6" x14ac:dyDescent="0.2">
      <c r="A1860" t="s">
        <v>1692</v>
      </c>
      <c r="B1860" s="1">
        <v>1089061</v>
      </c>
      <c r="C1860" s="1">
        <v>3470</v>
      </c>
      <c r="D1860" s="2">
        <v>42474</v>
      </c>
      <c r="E1860" s="1" t="s">
        <v>18</v>
      </c>
      <c r="F1860" t="str">
        <f>HYPERLINK("http://www.sec.gov/Archives/edgar/data/1089061/0001213900-16-012536-index.html")</f>
        <v>http://www.sec.gov/Archives/edgar/data/1089061/0001213900-16-012536-index.html</v>
      </c>
    </row>
    <row r="1861" spans="1:6" x14ac:dyDescent="0.2">
      <c r="A1861" t="s">
        <v>512</v>
      </c>
      <c r="B1861" s="1">
        <v>1089319</v>
      </c>
      <c r="C1861" s="1">
        <v>3533</v>
      </c>
      <c r="D1861" s="2">
        <v>42474</v>
      </c>
      <c r="E1861" s="1" t="s">
        <v>42</v>
      </c>
      <c r="F1861" t="str">
        <f>HYPERLINK("http://www.sec.gov/Archives/edgar/data/1089319/0001121781-16-000441-index.html")</f>
        <v>http://www.sec.gov/Archives/edgar/data/1089319/0001121781-16-000441-index.html</v>
      </c>
    </row>
    <row r="1862" spans="1:6" x14ac:dyDescent="0.2">
      <c r="A1862" t="s">
        <v>1693</v>
      </c>
      <c r="B1862" s="1">
        <v>1094038</v>
      </c>
      <c r="C1862" s="1">
        <v>2834</v>
      </c>
      <c r="D1862" s="2">
        <v>42474</v>
      </c>
      <c r="E1862" s="1" t="s">
        <v>18</v>
      </c>
      <c r="F1862" t="str">
        <f>HYPERLINK("http://www.sec.gov/Archives/edgar/data/1094038/0001193125-16-541539-index.html")</f>
        <v>http://www.sec.gov/Archives/edgar/data/1094038/0001193125-16-541539-index.html</v>
      </c>
    </row>
    <row r="1863" spans="1:6" x14ac:dyDescent="0.2">
      <c r="A1863" t="s">
        <v>1694</v>
      </c>
      <c r="B1863" s="1">
        <v>1099509</v>
      </c>
      <c r="C1863" s="1">
        <v>7372</v>
      </c>
      <c r="D1863" s="2">
        <v>42474</v>
      </c>
      <c r="E1863" s="1" t="s">
        <v>18</v>
      </c>
      <c r="F1863" t="str">
        <f>HYPERLINK("http://www.sec.gov/Archives/edgar/data/1099509/0001615774-16-004971-index.html")</f>
        <v>http://www.sec.gov/Archives/edgar/data/1099509/0001615774-16-004971-index.html</v>
      </c>
    </row>
    <row r="1864" spans="1:6" x14ac:dyDescent="0.2">
      <c r="A1864" t="s">
        <v>1695</v>
      </c>
      <c r="B1864" s="1">
        <v>1100644</v>
      </c>
      <c r="C1864" s="1">
        <v>7372</v>
      </c>
      <c r="D1864" s="2">
        <v>42474</v>
      </c>
      <c r="E1864" s="1" t="s">
        <v>18</v>
      </c>
      <c r="F1864" t="str">
        <f>HYPERLINK("http://www.sec.gov/Archives/edgar/data/1100644/0001052918-16-000957-index.html")</f>
        <v>http://www.sec.gov/Archives/edgar/data/1100644/0001052918-16-000957-index.html</v>
      </c>
    </row>
    <row r="1865" spans="1:6" x14ac:dyDescent="0.2">
      <c r="A1865" t="s">
        <v>137</v>
      </c>
      <c r="B1865" s="1">
        <v>1102432</v>
      </c>
      <c r="C1865" s="1">
        <v>7900</v>
      </c>
      <c r="D1865" s="2">
        <v>42474</v>
      </c>
      <c r="E1865" s="1" t="s">
        <v>18</v>
      </c>
      <c r="F1865" t="str">
        <f>HYPERLINK("http://www.sec.gov/Archives/edgar/data/1102432/0001477932-16-009785-index.html")</f>
        <v>http://www.sec.gov/Archives/edgar/data/1102432/0001477932-16-009785-index.html</v>
      </c>
    </row>
    <row r="1866" spans="1:6" x14ac:dyDescent="0.2">
      <c r="A1866" t="s">
        <v>1696</v>
      </c>
      <c r="B1866" s="1">
        <v>1104462</v>
      </c>
      <c r="C1866" s="1">
        <v>1090</v>
      </c>
      <c r="D1866" s="2">
        <v>42474</v>
      </c>
      <c r="E1866" s="1" t="s">
        <v>18</v>
      </c>
      <c r="F1866" t="str">
        <f>HYPERLINK("http://www.sec.gov/Archives/edgar/data/1104462/0001445866-16-001935-index.html")</f>
        <v>http://www.sec.gov/Archives/edgar/data/1104462/0001445866-16-001935-index.html</v>
      </c>
    </row>
    <row r="1867" spans="1:6" x14ac:dyDescent="0.2">
      <c r="A1867" t="s">
        <v>222</v>
      </c>
      <c r="B1867" s="1">
        <v>1106645</v>
      </c>
      <c r="C1867" s="1">
        <v>7372</v>
      </c>
      <c r="D1867" s="2">
        <v>42474</v>
      </c>
      <c r="E1867" s="1" t="s">
        <v>18</v>
      </c>
      <c r="F1867" t="str">
        <f>HYPERLINK("http://www.sec.gov/Archives/edgar/data/1106645/0001477932-16-009778-index.html")</f>
        <v>http://www.sec.gov/Archives/edgar/data/1106645/0001477932-16-009778-index.html</v>
      </c>
    </row>
    <row r="1868" spans="1:6" x14ac:dyDescent="0.2">
      <c r="A1868" t="s">
        <v>1697</v>
      </c>
      <c r="B1868" s="1">
        <v>1108046</v>
      </c>
      <c r="C1868" s="1">
        <v>2860</v>
      </c>
      <c r="D1868" s="2">
        <v>42474</v>
      </c>
      <c r="E1868" s="1" t="s">
        <v>18</v>
      </c>
      <c r="F1868" t="str">
        <f>HYPERLINK("http://www.sec.gov/Archives/edgar/data/1108046/0001477932-16-009790-index.html")</f>
        <v>http://www.sec.gov/Archives/edgar/data/1108046/0001477932-16-009790-index.html</v>
      </c>
    </row>
    <row r="1869" spans="1:6" x14ac:dyDescent="0.2">
      <c r="A1869" t="s">
        <v>1698</v>
      </c>
      <c r="B1869" s="1">
        <v>1112985</v>
      </c>
      <c r="C1869" s="1">
        <v>1311</v>
      </c>
      <c r="D1869" s="2">
        <v>42474</v>
      </c>
      <c r="E1869" s="1" t="s">
        <v>18</v>
      </c>
      <c r="F1869" t="str">
        <f>HYPERLINK("http://www.sec.gov/Archives/edgar/data/1112985/0001213900-16-012556-index.html")</f>
        <v>http://www.sec.gov/Archives/edgar/data/1112985/0001213900-16-012556-index.html</v>
      </c>
    </row>
    <row r="1870" spans="1:6" x14ac:dyDescent="0.2">
      <c r="A1870" t="s">
        <v>1699</v>
      </c>
      <c r="B1870" s="1">
        <v>1117057</v>
      </c>
      <c r="C1870" s="1">
        <v>2030</v>
      </c>
      <c r="D1870" s="2">
        <v>42474</v>
      </c>
      <c r="E1870" s="1" t="s">
        <v>18</v>
      </c>
      <c r="F1870" t="str">
        <f>HYPERLINK("http://www.sec.gov/Archives/edgar/data/1117057/0001062993-16-008985-index.html")</f>
        <v>http://www.sec.gov/Archives/edgar/data/1117057/0001062993-16-008985-index.html</v>
      </c>
    </row>
    <row r="1871" spans="1:6" x14ac:dyDescent="0.2">
      <c r="A1871" t="s">
        <v>1700</v>
      </c>
      <c r="B1871" s="1">
        <v>1119643</v>
      </c>
      <c r="C1871" s="1">
        <v>2833</v>
      </c>
      <c r="D1871" s="2">
        <v>42474</v>
      </c>
      <c r="E1871" s="1" t="s">
        <v>18</v>
      </c>
      <c r="F1871" t="str">
        <f>HYPERLINK("http://www.sec.gov/Archives/edgar/data/1119643/0001398432-16-000597-index.html")</f>
        <v>http://www.sec.gov/Archives/edgar/data/1119643/0001398432-16-000597-index.html</v>
      </c>
    </row>
    <row r="1872" spans="1:6" x14ac:dyDescent="0.2">
      <c r="A1872" t="s">
        <v>1701</v>
      </c>
      <c r="B1872" s="1">
        <v>1121745</v>
      </c>
      <c r="C1872" s="1">
        <v>1382</v>
      </c>
      <c r="D1872" s="2">
        <v>42474</v>
      </c>
      <c r="E1872" s="1" t="s">
        <v>18</v>
      </c>
      <c r="F1872" t="str">
        <f>HYPERLINK("http://www.sec.gov/Archives/edgar/data/1121745/0001564590-16-016219-index.html")</f>
        <v>http://www.sec.gov/Archives/edgar/data/1121745/0001564590-16-016219-index.html</v>
      </c>
    </row>
    <row r="1873" spans="1:6" x14ac:dyDescent="0.2">
      <c r="A1873" t="s">
        <v>1702</v>
      </c>
      <c r="B1873" s="1">
        <v>1127993</v>
      </c>
      <c r="C1873" s="1">
        <v>7830</v>
      </c>
      <c r="D1873" s="2">
        <v>42474</v>
      </c>
      <c r="E1873" s="1" t="s">
        <v>18</v>
      </c>
      <c r="F1873" t="str">
        <f>HYPERLINK("http://www.sec.gov/Archives/edgar/data/1127993/0001078782-16-002650-index.html")</f>
        <v>http://www.sec.gov/Archives/edgar/data/1127993/0001078782-16-002650-index.html</v>
      </c>
    </row>
    <row r="1874" spans="1:6" x14ac:dyDescent="0.2">
      <c r="A1874" t="s">
        <v>1703</v>
      </c>
      <c r="B1874" s="1">
        <v>1139614</v>
      </c>
      <c r="C1874" s="1">
        <v>7389</v>
      </c>
      <c r="D1874" s="2">
        <v>42474</v>
      </c>
      <c r="E1874" s="1" t="s">
        <v>18</v>
      </c>
      <c r="F1874" t="str">
        <f>HYPERLINK("http://www.sec.gov/Archives/edgar/data/1139614/0001517126-16-000315-index.html")</f>
        <v>http://www.sec.gov/Archives/edgar/data/1139614/0001517126-16-000315-index.html</v>
      </c>
    </row>
    <row r="1875" spans="1:6" x14ac:dyDescent="0.2">
      <c r="A1875" t="s">
        <v>1704</v>
      </c>
      <c r="B1875" s="1">
        <v>1157516</v>
      </c>
      <c r="C1875" s="1">
        <v>1381</v>
      </c>
      <c r="D1875" s="2">
        <v>42474</v>
      </c>
      <c r="E1875" s="1" t="s">
        <v>18</v>
      </c>
      <c r="F1875" t="str">
        <f>HYPERLINK("http://www.sec.gov/Archives/edgar/data/1157516/0001564590-16-016229-index.html")</f>
        <v>http://www.sec.gov/Archives/edgar/data/1157516/0001564590-16-016229-index.html</v>
      </c>
    </row>
    <row r="1876" spans="1:6" x14ac:dyDescent="0.2">
      <c r="A1876" t="s">
        <v>1705</v>
      </c>
      <c r="B1876" s="1">
        <v>1158387</v>
      </c>
      <c r="C1876" s="1">
        <v>3669</v>
      </c>
      <c r="D1876" s="2">
        <v>42474</v>
      </c>
      <c r="E1876" s="1" t="s">
        <v>18</v>
      </c>
      <c r="F1876" t="str">
        <f>HYPERLINK("http://www.sec.gov/Archives/edgar/data/1158387/0001493152-16-008939-index.html")</f>
        <v>http://www.sec.gov/Archives/edgar/data/1158387/0001493152-16-008939-index.html</v>
      </c>
    </row>
    <row r="1877" spans="1:6" x14ac:dyDescent="0.2">
      <c r="A1877" t="s">
        <v>1706</v>
      </c>
      <c r="B1877" s="1">
        <v>1161582</v>
      </c>
      <c r="C1877" s="1">
        <v>3231</v>
      </c>
      <c r="D1877" s="2">
        <v>42474</v>
      </c>
      <c r="E1877" s="1" t="s">
        <v>18</v>
      </c>
      <c r="F1877" t="str">
        <f>HYPERLINK("http://www.sec.gov/Archives/edgar/data/1161582/0001354488-16-007001-index.html")</f>
        <v>http://www.sec.gov/Archives/edgar/data/1161582/0001354488-16-007001-index.html</v>
      </c>
    </row>
    <row r="1878" spans="1:6" x14ac:dyDescent="0.2">
      <c r="A1878" t="s">
        <v>1707</v>
      </c>
      <c r="B1878" s="1">
        <v>1162896</v>
      </c>
      <c r="C1878" s="1">
        <v>7900</v>
      </c>
      <c r="D1878" s="2">
        <v>42474</v>
      </c>
      <c r="E1878" s="1" t="s">
        <v>18</v>
      </c>
      <c r="F1878" t="str">
        <f>HYPERLINK("http://www.sec.gov/Archives/edgar/data/1162896/0001493152-16-008938-index.html")</f>
        <v>http://www.sec.gov/Archives/edgar/data/1162896/0001493152-16-008938-index.html</v>
      </c>
    </row>
    <row r="1879" spans="1:6" x14ac:dyDescent="0.2">
      <c r="A1879" t="s">
        <v>1708</v>
      </c>
      <c r="B1879" s="1">
        <v>1168081</v>
      </c>
      <c r="C1879" s="1">
        <v>1040</v>
      </c>
      <c r="D1879" s="2">
        <v>42474</v>
      </c>
      <c r="E1879" s="1" t="s">
        <v>18</v>
      </c>
      <c r="F1879" t="str">
        <f>HYPERLINK("http://www.sec.gov/Archives/edgar/data/1168081/0001213900-16-012501-index.html")</f>
        <v>http://www.sec.gov/Archives/edgar/data/1168081/0001213900-16-012501-index.html</v>
      </c>
    </row>
    <row r="1880" spans="1:6" x14ac:dyDescent="0.2">
      <c r="A1880" t="s">
        <v>1709</v>
      </c>
      <c r="B1880" s="1">
        <v>1171008</v>
      </c>
      <c r="C1880" s="1">
        <v>1000</v>
      </c>
      <c r="D1880" s="2">
        <v>42474</v>
      </c>
      <c r="E1880" s="1" t="s">
        <v>18</v>
      </c>
      <c r="F1880" t="str">
        <f>HYPERLINK("http://www.sec.gov/Archives/edgar/data/1171008/0001193805-16-003065-index.html")</f>
        <v>http://www.sec.gov/Archives/edgar/data/1171008/0001193805-16-003065-index.html</v>
      </c>
    </row>
    <row r="1881" spans="1:6" x14ac:dyDescent="0.2">
      <c r="A1881" t="s">
        <v>1710</v>
      </c>
      <c r="B1881" s="1">
        <v>1174814</v>
      </c>
      <c r="C1881" s="1">
        <v>5900</v>
      </c>
      <c r="D1881" s="2">
        <v>42474</v>
      </c>
      <c r="E1881" s="1" t="s">
        <v>18</v>
      </c>
      <c r="F1881" t="str">
        <f>HYPERLINK("http://www.sec.gov/Archives/edgar/data/1174814/0001137050-16-000243-index.html")</f>
        <v>http://www.sec.gov/Archives/edgar/data/1174814/0001137050-16-000243-index.html</v>
      </c>
    </row>
    <row r="1882" spans="1:6" x14ac:dyDescent="0.2">
      <c r="A1882" t="s">
        <v>1711</v>
      </c>
      <c r="B1882" s="1">
        <v>1175028</v>
      </c>
      <c r="C1882" s="1">
        <v>1311</v>
      </c>
      <c r="D1882" s="2">
        <v>42474</v>
      </c>
      <c r="E1882" s="1" t="s">
        <v>18</v>
      </c>
      <c r="F1882" t="str">
        <f>HYPERLINK("http://www.sec.gov/Archives/edgar/data/1175028/0001564590-16-016233-index.html")</f>
        <v>http://www.sec.gov/Archives/edgar/data/1175028/0001564590-16-016233-index.html</v>
      </c>
    </row>
    <row r="1883" spans="1:6" x14ac:dyDescent="0.2">
      <c r="A1883" t="s">
        <v>1712</v>
      </c>
      <c r="B1883" s="1">
        <v>1206133</v>
      </c>
      <c r="C1883" s="1">
        <v>4899</v>
      </c>
      <c r="D1883" s="2">
        <v>42474</v>
      </c>
      <c r="E1883" s="1" t="s">
        <v>18</v>
      </c>
      <c r="F1883" t="str">
        <f>HYPERLINK("http://www.sec.gov/Archives/edgar/data/1206133/0001493152-16-008913-index.html")</f>
        <v>http://www.sec.gov/Archives/edgar/data/1206133/0001493152-16-008913-index.html</v>
      </c>
    </row>
    <row r="1884" spans="1:6" x14ac:dyDescent="0.2">
      <c r="A1884" t="s">
        <v>1713</v>
      </c>
      <c r="B1884" s="1">
        <v>1211351</v>
      </c>
      <c r="C1884" s="1">
        <v>5621</v>
      </c>
      <c r="D1884" s="2">
        <v>42474</v>
      </c>
      <c r="E1884" s="1" t="s">
        <v>18</v>
      </c>
      <c r="F1884" t="str">
        <f>HYPERLINK("http://www.sec.gov/Archives/edgar/data/1211351/0001047469-16-012218-index.html")</f>
        <v>http://www.sec.gov/Archives/edgar/data/1211351/0001047469-16-012218-index.html</v>
      </c>
    </row>
    <row r="1885" spans="1:6" x14ac:dyDescent="0.2">
      <c r="A1885" t="s">
        <v>1714</v>
      </c>
      <c r="B1885" s="1">
        <v>1238289</v>
      </c>
      <c r="C1885" s="1">
        <v>1311</v>
      </c>
      <c r="D1885" s="2">
        <v>42474</v>
      </c>
      <c r="E1885" s="1" t="s">
        <v>18</v>
      </c>
      <c r="F1885" t="str">
        <f>HYPERLINK("http://www.sec.gov/Archives/edgar/data/1238289/0001564590-16-016231-index.html")</f>
        <v>http://www.sec.gov/Archives/edgar/data/1238289/0001564590-16-016231-index.html</v>
      </c>
    </row>
    <row r="1886" spans="1:6" x14ac:dyDescent="0.2">
      <c r="A1886" t="s">
        <v>1715</v>
      </c>
      <c r="B1886" s="1">
        <v>1263872</v>
      </c>
      <c r="C1886" s="1">
        <v>3661</v>
      </c>
      <c r="D1886" s="2">
        <v>42474</v>
      </c>
      <c r="E1886" s="1" t="s">
        <v>18</v>
      </c>
      <c r="F1886" t="str">
        <f>HYPERLINK("http://www.sec.gov/Archives/edgar/data/1263872/0001062993-16-008981-index.html")</f>
        <v>http://www.sec.gov/Archives/edgar/data/1263872/0001062993-16-008981-index.html</v>
      </c>
    </row>
    <row r="1887" spans="1:6" x14ac:dyDescent="0.2">
      <c r="A1887" t="s">
        <v>1716</v>
      </c>
      <c r="B1887" s="1">
        <v>1265848</v>
      </c>
      <c r="C1887" s="1">
        <v>8742</v>
      </c>
      <c r="D1887" s="2">
        <v>42474</v>
      </c>
      <c r="E1887" s="1" t="s">
        <v>18</v>
      </c>
      <c r="F1887" t="str">
        <f>HYPERLINK("http://www.sec.gov/Archives/edgar/data/1265848/0001213900-16-012532-index.html")</f>
        <v>http://www.sec.gov/Archives/edgar/data/1265848/0001213900-16-012532-index.html</v>
      </c>
    </row>
    <row r="1888" spans="1:6" x14ac:dyDescent="0.2">
      <c r="A1888" t="s">
        <v>1717</v>
      </c>
      <c r="B1888" s="1">
        <v>1270200</v>
      </c>
      <c r="C1888" s="1">
        <v>7330</v>
      </c>
      <c r="D1888" s="2">
        <v>42474</v>
      </c>
      <c r="E1888" s="1" t="s">
        <v>18</v>
      </c>
      <c r="F1888" t="str">
        <f>HYPERLINK("http://www.sec.gov/Archives/edgar/data/1270200/0001019687-16-005890-index.html")</f>
        <v>http://www.sec.gov/Archives/edgar/data/1270200/0001019687-16-005890-index.html</v>
      </c>
    </row>
    <row r="1889" spans="1:6" x14ac:dyDescent="0.2">
      <c r="A1889" t="s">
        <v>1718</v>
      </c>
      <c r="B1889" s="1">
        <v>1271551</v>
      </c>
      <c r="C1889" s="1">
        <v>9995</v>
      </c>
      <c r="D1889" s="2">
        <v>42474</v>
      </c>
      <c r="E1889" s="1" t="s">
        <v>18</v>
      </c>
      <c r="F1889" t="str">
        <f>HYPERLINK("http://www.sec.gov/Archives/edgar/data/1271551/0001144204-16-094301-index.html")</f>
        <v>http://www.sec.gov/Archives/edgar/data/1271551/0001144204-16-094301-index.html</v>
      </c>
    </row>
    <row r="1890" spans="1:6" x14ac:dyDescent="0.2">
      <c r="A1890" t="s">
        <v>1719</v>
      </c>
      <c r="B1890" s="1">
        <v>1281922</v>
      </c>
      <c r="C1890" s="1">
        <v>1311</v>
      </c>
      <c r="D1890" s="2">
        <v>42474</v>
      </c>
      <c r="E1890" s="1" t="s">
        <v>18</v>
      </c>
      <c r="F1890" t="str">
        <f>HYPERLINK("http://www.sec.gov/Archives/edgar/data/1281922/0001558370-16-004642-index.html")</f>
        <v>http://www.sec.gov/Archives/edgar/data/1281922/0001558370-16-004642-index.html</v>
      </c>
    </row>
    <row r="1891" spans="1:6" x14ac:dyDescent="0.2">
      <c r="A1891" t="s">
        <v>1720</v>
      </c>
      <c r="B1891" s="1">
        <v>1285543</v>
      </c>
      <c r="C1891" s="1">
        <v>7372</v>
      </c>
      <c r="D1891" s="2">
        <v>42474</v>
      </c>
      <c r="E1891" s="1" t="s">
        <v>18</v>
      </c>
      <c r="F1891" t="str">
        <f>HYPERLINK("http://www.sec.gov/Archives/edgar/data/1285543/0001477932-16-009705-index.html")</f>
        <v>http://www.sec.gov/Archives/edgar/data/1285543/0001477932-16-009705-index.html</v>
      </c>
    </row>
    <row r="1892" spans="1:6" x14ac:dyDescent="0.2">
      <c r="A1892" t="s">
        <v>1721</v>
      </c>
      <c r="B1892" s="1">
        <v>1285701</v>
      </c>
      <c r="C1892" s="1">
        <v>7389</v>
      </c>
      <c r="D1892" s="2">
        <v>42474</v>
      </c>
      <c r="E1892" s="1" t="s">
        <v>18</v>
      </c>
      <c r="F1892" t="str">
        <f>HYPERLINK("http://www.sec.gov/Archives/edgar/data/1285701/0001136261-16-000436-index.html")</f>
        <v>http://www.sec.gov/Archives/edgar/data/1285701/0001136261-16-000436-index.html</v>
      </c>
    </row>
    <row r="1893" spans="1:6" x14ac:dyDescent="0.2">
      <c r="A1893" t="s">
        <v>1722</v>
      </c>
      <c r="B1893" s="1">
        <v>1294476</v>
      </c>
      <c r="C1893" s="1">
        <v>1311</v>
      </c>
      <c r="D1893" s="2">
        <v>42474</v>
      </c>
      <c r="E1893" s="1" t="s">
        <v>18</v>
      </c>
      <c r="F1893" t="str">
        <f>HYPERLINK("http://www.sec.gov/Archives/edgar/data/1294476/0001564590-16-016222-index.html")</f>
        <v>http://www.sec.gov/Archives/edgar/data/1294476/0001564590-16-016222-index.html</v>
      </c>
    </row>
    <row r="1894" spans="1:6" x14ac:dyDescent="0.2">
      <c r="A1894" t="s">
        <v>1723</v>
      </c>
      <c r="B1894" s="1">
        <v>1307969</v>
      </c>
      <c r="C1894" s="1">
        <v>3089</v>
      </c>
      <c r="D1894" s="2">
        <v>42474</v>
      </c>
      <c r="E1894" s="1" t="s">
        <v>18</v>
      </c>
      <c r="F1894" t="str">
        <f>HYPERLINK("http://www.sec.gov/Archives/edgar/data/1307969/0001607062-16-000786-index.html")</f>
        <v>http://www.sec.gov/Archives/edgar/data/1307969/0001607062-16-000786-index.html</v>
      </c>
    </row>
    <row r="1895" spans="1:6" x14ac:dyDescent="0.2">
      <c r="A1895" t="s">
        <v>1724</v>
      </c>
      <c r="B1895" s="1">
        <v>1308027</v>
      </c>
      <c r="C1895" s="1">
        <v>3060</v>
      </c>
      <c r="D1895" s="2">
        <v>42474</v>
      </c>
      <c r="E1895" s="1" t="s">
        <v>18</v>
      </c>
      <c r="F1895" t="str">
        <f>HYPERLINK("http://www.sec.gov/Archives/edgar/data/1308027/0001387131-16-004992-index.html")</f>
        <v>http://www.sec.gov/Archives/edgar/data/1308027/0001387131-16-004992-index.html</v>
      </c>
    </row>
    <row r="1896" spans="1:6" x14ac:dyDescent="0.2">
      <c r="A1896" t="s">
        <v>1725</v>
      </c>
      <c r="B1896" s="1">
        <v>1310527</v>
      </c>
      <c r="C1896" s="1">
        <v>2842</v>
      </c>
      <c r="D1896" s="2">
        <v>42474</v>
      </c>
      <c r="E1896" s="1" t="s">
        <v>21</v>
      </c>
      <c r="F1896" t="str">
        <f>HYPERLINK("http://www.sec.gov/Archives/edgar/data/1310527/0001548123-16-000536-index.html")</f>
        <v>http://www.sec.gov/Archives/edgar/data/1310527/0001548123-16-000536-index.html</v>
      </c>
    </row>
    <row r="1897" spans="1:6" x14ac:dyDescent="0.2">
      <c r="A1897" t="s">
        <v>1726</v>
      </c>
      <c r="B1897" s="1">
        <v>1317839</v>
      </c>
      <c r="C1897" s="1">
        <v>7389</v>
      </c>
      <c r="D1897" s="2">
        <v>42474</v>
      </c>
      <c r="E1897" s="1" t="s">
        <v>18</v>
      </c>
      <c r="F1897" t="str">
        <f>HYPERLINK("http://www.sec.gov/Archives/edgar/data/1317839/0001477932-16-009782-index.html")</f>
        <v>http://www.sec.gov/Archives/edgar/data/1317839/0001477932-16-009782-index.html</v>
      </c>
    </row>
    <row r="1898" spans="1:6" x14ac:dyDescent="0.2">
      <c r="A1898" t="s">
        <v>1727</v>
      </c>
      <c r="B1898" s="1">
        <v>1329606</v>
      </c>
      <c r="C1898" s="1">
        <v>3672</v>
      </c>
      <c r="D1898" s="2">
        <v>42474</v>
      </c>
      <c r="E1898" s="1" t="s">
        <v>18</v>
      </c>
      <c r="F1898" t="str">
        <f>HYPERLINK("http://www.sec.gov/Archives/edgar/data/1329606/0001504412-16-000225-index.html")</f>
        <v>http://www.sec.gov/Archives/edgar/data/1329606/0001504412-16-000225-index.html</v>
      </c>
    </row>
    <row r="1899" spans="1:6" x14ac:dyDescent="0.2">
      <c r="A1899" t="s">
        <v>1728</v>
      </c>
      <c r="B1899" s="1">
        <v>1335112</v>
      </c>
      <c r="C1899" s="1">
        <v>7389</v>
      </c>
      <c r="D1899" s="2">
        <v>42474</v>
      </c>
      <c r="E1899" s="1" t="s">
        <v>18</v>
      </c>
      <c r="F1899" t="str">
        <f>HYPERLINK("http://www.sec.gov/Archives/edgar/data/1335112/0001469709-16-000770-index.html")</f>
        <v>http://www.sec.gov/Archives/edgar/data/1335112/0001469709-16-000770-index.html</v>
      </c>
    </row>
    <row r="1900" spans="1:6" x14ac:dyDescent="0.2">
      <c r="A1900" t="s">
        <v>1729</v>
      </c>
      <c r="B1900" s="1">
        <v>1335236</v>
      </c>
      <c r="C1900" s="1">
        <v>1311</v>
      </c>
      <c r="D1900" s="2">
        <v>42474</v>
      </c>
      <c r="E1900" s="1" t="s">
        <v>18</v>
      </c>
      <c r="F1900" t="str">
        <f>HYPERLINK("http://www.sec.gov/Archives/edgar/data/1335236/0001564590-16-016228-index.html")</f>
        <v>http://www.sec.gov/Archives/edgar/data/1335236/0001564590-16-016228-index.html</v>
      </c>
    </row>
    <row r="1901" spans="1:6" x14ac:dyDescent="0.2">
      <c r="A1901" t="s">
        <v>1730</v>
      </c>
      <c r="B1901" s="1">
        <v>1336339</v>
      </c>
      <c r="C1901" s="1">
        <v>1311</v>
      </c>
      <c r="D1901" s="2">
        <v>42474</v>
      </c>
      <c r="E1901" s="1" t="s">
        <v>18</v>
      </c>
      <c r="F1901" t="str">
        <f>HYPERLINK("http://www.sec.gov/Archives/edgar/data/1336339/0001564590-16-016224-index.html")</f>
        <v>http://www.sec.gov/Archives/edgar/data/1336339/0001564590-16-016224-index.html</v>
      </c>
    </row>
    <row r="1902" spans="1:6" x14ac:dyDescent="0.2">
      <c r="A1902" t="s">
        <v>1731</v>
      </c>
      <c r="B1902" s="1">
        <v>1342514</v>
      </c>
      <c r="C1902" s="1">
        <v>1311</v>
      </c>
      <c r="D1902" s="2">
        <v>42474</v>
      </c>
      <c r="E1902" s="1" t="s">
        <v>18</v>
      </c>
      <c r="F1902" t="str">
        <f>HYPERLINK("http://www.sec.gov/Archives/edgar/data/1342514/0001564590-16-016244-index.html")</f>
        <v>http://www.sec.gov/Archives/edgar/data/1342514/0001564590-16-016244-index.html</v>
      </c>
    </row>
    <row r="1903" spans="1:6" x14ac:dyDescent="0.2">
      <c r="A1903" t="s">
        <v>1732</v>
      </c>
      <c r="B1903" s="1">
        <v>1357361</v>
      </c>
      <c r="C1903" s="1">
        <v>1311</v>
      </c>
      <c r="D1903" s="2">
        <v>42474</v>
      </c>
      <c r="E1903" s="1" t="s">
        <v>18</v>
      </c>
      <c r="F1903" t="str">
        <f>HYPERLINK("http://www.sec.gov/Archives/edgar/data/1357361/0001564590-16-016234-index.html")</f>
        <v>http://www.sec.gov/Archives/edgar/data/1357361/0001564590-16-016234-index.html</v>
      </c>
    </row>
    <row r="1904" spans="1:6" x14ac:dyDescent="0.2">
      <c r="A1904" t="s">
        <v>1733</v>
      </c>
      <c r="B1904" s="1">
        <v>1357671</v>
      </c>
      <c r="C1904" s="1">
        <v>6500</v>
      </c>
      <c r="D1904" s="2">
        <v>42474</v>
      </c>
      <c r="E1904" s="1" t="s">
        <v>18</v>
      </c>
      <c r="F1904" t="str">
        <f>HYPERLINK("http://www.sec.gov/Archives/edgar/data/1357671/0001213900-16-012576-index.html")</f>
        <v>http://www.sec.gov/Archives/edgar/data/1357671/0001213900-16-012576-index.html</v>
      </c>
    </row>
    <row r="1905" spans="1:6" x14ac:dyDescent="0.2">
      <c r="A1905" t="s">
        <v>1734</v>
      </c>
      <c r="B1905" s="1">
        <v>1369203</v>
      </c>
      <c r="C1905" s="1">
        <v>3714</v>
      </c>
      <c r="D1905" s="2">
        <v>42474</v>
      </c>
      <c r="E1905" s="1" t="s">
        <v>18</v>
      </c>
      <c r="F1905" t="str">
        <f>HYPERLINK("http://www.sec.gov/Archives/edgar/data/1369203/0001078782-16-002638-index.html")</f>
        <v>http://www.sec.gov/Archives/edgar/data/1369203/0001078782-16-002638-index.html</v>
      </c>
    </row>
    <row r="1906" spans="1:6" x14ac:dyDescent="0.2">
      <c r="A1906" t="s">
        <v>1735</v>
      </c>
      <c r="B1906" s="1">
        <v>1370804</v>
      </c>
      <c r="C1906" s="1">
        <v>8071</v>
      </c>
      <c r="D1906" s="2">
        <v>42474</v>
      </c>
      <c r="E1906" s="1" t="s">
        <v>18</v>
      </c>
      <c r="F1906" t="str">
        <f>HYPERLINK("http://www.sec.gov/Archives/edgar/data/1370804/0001515971-16-000480-index.html")</f>
        <v>http://www.sec.gov/Archives/edgar/data/1370804/0001515971-16-000480-index.html</v>
      </c>
    </row>
    <row r="1907" spans="1:6" x14ac:dyDescent="0.2">
      <c r="A1907" t="s">
        <v>1736</v>
      </c>
      <c r="B1907" s="1">
        <v>1374328</v>
      </c>
      <c r="C1907" s="1">
        <v>2833</v>
      </c>
      <c r="D1907" s="2">
        <v>42474</v>
      </c>
      <c r="E1907" s="1" t="s">
        <v>18</v>
      </c>
      <c r="F1907" t="str">
        <f>HYPERLINK("http://www.sec.gov/Archives/edgar/data/1374328/0001415889-16-005539-index.html")</f>
        <v>http://www.sec.gov/Archives/edgar/data/1374328/0001415889-16-005539-index.html</v>
      </c>
    </row>
    <row r="1908" spans="1:6" x14ac:dyDescent="0.2">
      <c r="A1908" t="s">
        <v>1737</v>
      </c>
      <c r="B1908" s="1">
        <v>1374985</v>
      </c>
      <c r="C1908" s="1">
        <v>1311</v>
      </c>
      <c r="D1908" s="2">
        <v>42474</v>
      </c>
      <c r="E1908" s="1" t="s">
        <v>18</v>
      </c>
      <c r="F1908" t="str">
        <f>HYPERLINK("http://www.sec.gov/Archives/edgar/data/1374985/0001564590-16-016230-index.html")</f>
        <v>http://www.sec.gov/Archives/edgar/data/1374985/0001564590-16-016230-index.html</v>
      </c>
    </row>
    <row r="1909" spans="1:6" x14ac:dyDescent="0.2">
      <c r="A1909" t="s">
        <v>1738</v>
      </c>
      <c r="B1909" s="1">
        <v>1375793</v>
      </c>
      <c r="C1909" s="1">
        <v>3663</v>
      </c>
      <c r="D1909" s="2">
        <v>42474</v>
      </c>
      <c r="E1909" s="1" t="s">
        <v>18</v>
      </c>
      <c r="F1909" t="str">
        <f>HYPERLINK("http://www.sec.gov/Archives/edgar/data/1375793/0001078782-16-002648-index.html")</f>
        <v>http://www.sec.gov/Archives/edgar/data/1375793/0001078782-16-002648-index.html</v>
      </c>
    </row>
    <row r="1910" spans="1:6" x14ac:dyDescent="0.2">
      <c r="A1910" t="s">
        <v>1739</v>
      </c>
      <c r="B1910" s="1">
        <v>1376321</v>
      </c>
      <c r="C1910" s="1">
        <v>7311</v>
      </c>
      <c r="D1910" s="2">
        <v>42474</v>
      </c>
      <c r="E1910" s="1" t="s">
        <v>18</v>
      </c>
      <c r="F1910" t="str">
        <f>HYPERLINK("http://www.sec.gov/Archives/edgar/data/1376321/0001171843-16-009166-index.html")</f>
        <v>http://www.sec.gov/Archives/edgar/data/1376321/0001171843-16-009166-index.html</v>
      </c>
    </row>
    <row r="1911" spans="1:6" x14ac:dyDescent="0.2">
      <c r="A1911" t="s">
        <v>1740</v>
      </c>
      <c r="B1911" s="1">
        <v>1379763</v>
      </c>
      <c r="C1911" s="1">
        <v>1311</v>
      </c>
      <c r="D1911" s="2">
        <v>42474</v>
      </c>
      <c r="E1911" s="1" t="s">
        <v>18</v>
      </c>
      <c r="F1911" t="str">
        <f>HYPERLINK("http://www.sec.gov/Archives/edgar/data/1379763/0001564590-16-016247-index.html")</f>
        <v>http://www.sec.gov/Archives/edgar/data/1379763/0001564590-16-016247-index.html</v>
      </c>
    </row>
    <row r="1912" spans="1:6" x14ac:dyDescent="0.2">
      <c r="A1912" t="s">
        <v>1741</v>
      </c>
      <c r="B1912" s="1">
        <v>1381105</v>
      </c>
      <c r="C1912" s="1">
        <v>5064</v>
      </c>
      <c r="D1912" s="2">
        <v>42474</v>
      </c>
      <c r="E1912" s="1" t="s">
        <v>18</v>
      </c>
      <c r="F1912" t="str">
        <f>HYPERLINK("http://www.sec.gov/Archives/edgar/data/1381105/0001493152-16-008889-index.html")</f>
        <v>http://www.sec.gov/Archives/edgar/data/1381105/0001493152-16-008889-index.html</v>
      </c>
    </row>
    <row r="1913" spans="1:6" x14ac:dyDescent="0.2">
      <c r="A1913" t="s">
        <v>1742</v>
      </c>
      <c r="B1913" s="1">
        <v>1384365</v>
      </c>
      <c r="C1913" s="1">
        <v>7371</v>
      </c>
      <c r="D1913" s="2">
        <v>42474</v>
      </c>
      <c r="E1913" s="1" t="s">
        <v>42</v>
      </c>
      <c r="F1913" t="str">
        <f>HYPERLINK("http://www.sec.gov/Archives/edgar/data/1384365/0001393905-16-000853-index.html")</f>
        <v>http://www.sec.gov/Archives/edgar/data/1384365/0001393905-16-000853-index.html</v>
      </c>
    </row>
    <row r="1914" spans="1:6" x14ac:dyDescent="0.2">
      <c r="A1914" t="s">
        <v>1742</v>
      </c>
      <c r="B1914" s="1">
        <v>1384365</v>
      </c>
      <c r="C1914" s="1">
        <v>7371</v>
      </c>
      <c r="D1914" s="2">
        <v>42474</v>
      </c>
      <c r="E1914" s="1" t="s">
        <v>18</v>
      </c>
      <c r="F1914" t="str">
        <f>HYPERLINK("http://www.sec.gov/Archives/edgar/data/1384365/0001393905-16-000844-index.html")</f>
        <v>http://www.sec.gov/Archives/edgar/data/1384365/0001393905-16-000844-index.html</v>
      </c>
    </row>
    <row r="1915" spans="1:6" x14ac:dyDescent="0.2">
      <c r="A1915" t="s">
        <v>1743</v>
      </c>
      <c r="B1915" s="1">
        <v>1388978</v>
      </c>
      <c r="C1915" s="1">
        <v>2844</v>
      </c>
      <c r="D1915" s="2">
        <v>42474</v>
      </c>
      <c r="E1915" s="1" t="s">
        <v>18</v>
      </c>
      <c r="F1915" t="str">
        <f>HYPERLINK("http://www.sec.gov/Archives/edgar/data/1388978/0001445866-16-001927-index.html")</f>
        <v>http://www.sec.gov/Archives/edgar/data/1388978/0001445866-16-001927-index.html</v>
      </c>
    </row>
    <row r="1916" spans="1:6" x14ac:dyDescent="0.2">
      <c r="A1916" t="s">
        <v>1744</v>
      </c>
      <c r="B1916" s="1">
        <v>1389518</v>
      </c>
      <c r="C1916" s="1">
        <v>8062</v>
      </c>
      <c r="D1916" s="2">
        <v>42474</v>
      </c>
      <c r="E1916" s="1" t="s">
        <v>18</v>
      </c>
      <c r="F1916" t="str">
        <f>HYPERLINK("http://www.sec.gov/Archives/edgar/data/1389518/0001199835-16-000740-index.html")</f>
        <v>http://www.sec.gov/Archives/edgar/data/1389518/0001199835-16-000740-index.html</v>
      </c>
    </row>
    <row r="1917" spans="1:6" x14ac:dyDescent="0.2">
      <c r="A1917" t="s">
        <v>1745</v>
      </c>
      <c r="B1917" s="1">
        <v>1392694</v>
      </c>
      <c r="C1917" s="1">
        <v>7310</v>
      </c>
      <c r="D1917" s="2">
        <v>42474</v>
      </c>
      <c r="E1917" s="1" t="s">
        <v>18</v>
      </c>
      <c r="F1917" t="str">
        <f>HYPERLINK("http://www.sec.gov/Archives/edgar/data/1392694/0001493152-16-008881-index.html")</f>
        <v>http://www.sec.gov/Archives/edgar/data/1392694/0001493152-16-008881-index.html</v>
      </c>
    </row>
    <row r="1918" spans="1:6" x14ac:dyDescent="0.2">
      <c r="A1918" t="s">
        <v>1746</v>
      </c>
      <c r="B1918" s="1">
        <v>1393540</v>
      </c>
      <c r="C1918" s="1">
        <v>7363</v>
      </c>
      <c r="D1918" s="2">
        <v>42474</v>
      </c>
      <c r="E1918" s="1" t="s">
        <v>18</v>
      </c>
      <c r="F1918" t="str">
        <f>HYPERLINK("http://www.sec.gov/Archives/edgar/data/1393540/0001185185-16-004256-index.html")</f>
        <v>http://www.sec.gov/Archives/edgar/data/1393540/0001185185-16-004256-index.html</v>
      </c>
    </row>
    <row r="1919" spans="1:6" x14ac:dyDescent="0.2">
      <c r="A1919" t="s">
        <v>1747</v>
      </c>
      <c r="B1919" s="1">
        <v>1395864</v>
      </c>
      <c r="C1919" s="1">
        <v>2670</v>
      </c>
      <c r="D1919" s="2">
        <v>42474</v>
      </c>
      <c r="E1919" s="1" t="s">
        <v>18</v>
      </c>
      <c r="F1919" t="str">
        <f>HYPERLINK("http://www.sec.gov/Archives/edgar/data/1395864/0001421182-16-000085-index.html")</f>
        <v>http://www.sec.gov/Archives/edgar/data/1395864/0001421182-16-000085-index.html</v>
      </c>
    </row>
    <row r="1920" spans="1:6" x14ac:dyDescent="0.2">
      <c r="A1920" t="s">
        <v>1748</v>
      </c>
      <c r="B1920" s="1">
        <v>1399541</v>
      </c>
      <c r="C1920" s="1">
        <v>1311</v>
      </c>
      <c r="D1920" s="2">
        <v>42474</v>
      </c>
      <c r="E1920" s="1" t="s">
        <v>18</v>
      </c>
      <c r="F1920" t="str">
        <f>HYPERLINK("http://www.sec.gov/Archives/edgar/data/1399541/0001564590-16-016235-index.html")</f>
        <v>http://www.sec.gov/Archives/edgar/data/1399541/0001564590-16-016235-index.html</v>
      </c>
    </row>
    <row r="1921" spans="1:6" x14ac:dyDescent="0.2">
      <c r="A1921" t="s">
        <v>1749</v>
      </c>
      <c r="B1921" s="1">
        <v>1399542</v>
      </c>
      <c r="C1921" s="1">
        <v>1311</v>
      </c>
      <c r="D1921" s="2">
        <v>42474</v>
      </c>
      <c r="E1921" s="1" t="s">
        <v>18</v>
      </c>
      <c r="F1921" t="str">
        <f>HYPERLINK("http://www.sec.gov/Archives/edgar/data/1399542/0001564590-16-016238-index.html")</f>
        <v>http://www.sec.gov/Archives/edgar/data/1399542/0001564590-16-016238-index.html</v>
      </c>
    </row>
    <row r="1922" spans="1:6" x14ac:dyDescent="0.2">
      <c r="A1922" t="s">
        <v>1750</v>
      </c>
      <c r="B1922" s="1">
        <v>1402453</v>
      </c>
      <c r="C1922" s="1">
        <v>7374</v>
      </c>
      <c r="D1922" s="2">
        <v>42474</v>
      </c>
      <c r="E1922" s="1" t="s">
        <v>18</v>
      </c>
      <c r="F1922" t="str">
        <f>HYPERLINK("http://www.sec.gov/Archives/edgar/data/1402453/0001117768-16-001088-index.html")</f>
        <v>http://www.sec.gov/Archives/edgar/data/1402453/0001117768-16-001088-index.html</v>
      </c>
    </row>
    <row r="1923" spans="1:6" x14ac:dyDescent="0.2">
      <c r="A1923" t="s">
        <v>1751</v>
      </c>
      <c r="B1923" s="1">
        <v>1405249</v>
      </c>
      <c r="C1923" s="1">
        <v>3841</v>
      </c>
      <c r="D1923" s="2">
        <v>42474</v>
      </c>
      <c r="E1923" s="1" t="s">
        <v>18</v>
      </c>
      <c r="F1923" t="str">
        <f>HYPERLINK("http://www.sec.gov/Archives/edgar/data/1405249/0001056520-16-000234-index.html")</f>
        <v>http://www.sec.gov/Archives/edgar/data/1405249/0001056520-16-000234-index.html</v>
      </c>
    </row>
    <row r="1924" spans="1:6" x14ac:dyDescent="0.2">
      <c r="A1924" t="s">
        <v>1752</v>
      </c>
      <c r="B1924" s="1">
        <v>1407704</v>
      </c>
      <c r="C1924" s="1">
        <v>3640</v>
      </c>
      <c r="D1924" s="2">
        <v>42474</v>
      </c>
      <c r="E1924" s="1" t="s">
        <v>18</v>
      </c>
      <c r="F1924" t="str">
        <f>HYPERLINK("http://www.sec.gov/Archives/edgar/data/1407704/0001640334-16-000949-index.html")</f>
        <v>http://www.sec.gov/Archives/edgar/data/1407704/0001640334-16-000949-index.html</v>
      </c>
    </row>
    <row r="1925" spans="1:6" x14ac:dyDescent="0.2">
      <c r="A1925" t="s">
        <v>1753</v>
      </c>
      <c r="B1925" s="1">
        <v>1408299</v>
      </c>
      <c r="C1925" s="1">
        <v>2833</v>
      </c>
      <c r="D1925" s="2">
        <v>42474</v>
      </c>
      <c r="E1925" s="1" t="s">
        <v>18</v>
      </c>
      <c r="F1925" t="str">
        <f>HYPERLINK("http://www.sec.gov/Archives/edgar/data/1408299/0001185185-16-004208-index.html")</f>
        <v>http://www.sec.gov/Archives/edgar/data/1408299/0001185185-16-004208-index.html</v>
      </c>
    </row>
    <row r="1926" spans="1:6" x14ac:dyDescent="0.2">
      <c r="A1926" t="s">
        <v>1754</v>
      </c>
      <c r="B1926" s="1">
        <v>1409253</v>
      </c>
      <c r="C1926" s="1">
        <v>8742</v>
      </c>
      <c r="D1926" s="2">
        <v>42474</v>
      </c>
      <c r="E1926" s="1" t="s">
        <v>18</v>
      </c>
      <c r="F1926" t="str">
        <f>HYPERLINK("http://www.sec.gov/Archives/edgar/data/1409253/0001477932-16-009764-index.html")</f>
        <v>http://www.sec.gov/Archives/edgar/data/1409253/0001477932-16-009764-index.html</v>
      </c>
    </row>
    <row r="1927" spans="1:6" x14ac:dyDescent="0.2">
      <c r="A1927" t="s">
        <v>1755</v>
      </c>
      <c r="B1927" s="1">
        <v>1412126</v>
      </c>
      <c r="C1927" s="1">
        <v>7200</v>
      </c>
      <c r="D1927" s="2">
        <v>42474</v>
      </c>
      <c r="E1927" s="1" t="s">
        <v>18</v>
      </c>
      <c r="F1927" t="str">
        <f>HYPERLINK("http://www.sec.gov/Archives/edgar/data/1412126/0001078782-16-002629-index.html")</f>
        <v>http://www.sec.gov/Archives/edgar/data/1412126/0001078782-16-002629-index.html</v>
      </c>
    </row>
    <row r="1928" spans="1:6" x14ac:dyDescent="0.2">
      <c r="A1928" t="s">
        <v>1756</v>
      </c>
      <c r="B1928" s="1">
        <v>1414043</v>
      </c>
      <c r="C1928" s="1">
        <v>7372</v>
      </c>
      <c r="D1928" s="2">
        <v>42474</v>
      </c>
      <c r="E1928" s="1" t="s">
        <v>18</v>
      </c>
      <c r="F1928" t="str">
        <f>HYPERLINK("http://www.sec.gov/Archives/edgar/data/1414043/0001199835-16-000743-index.html")</f>
        <v>http://www.sec.gov/Archives/edgar/data/1414043/0001199835-16-000743-index.html</v>
      </c>
    </row>
    <row r="1929" spans="1:6" x14ac:dyDescent="0.2">
      <c r="A1929" t="s">
        <v>1757</v>
      </c>
      <c r="B1929" s="1">
        <v>1416876</v>
      </c>
      <c r="C1929" s="1">
        <v>8071</v>
      </c>
      <c r="D1929" s="2">
        <v>42474</v>
      </c>
      <c r="E1929" s="1" t="s">
        <v>18</v>
      </c>
      <c r="F1929" t="str">
        <f>HYPERLINK("http://www.sec.gov/Archives/edgar/data/1416876/0001575705-16-000111-index.html")</f>
        <v>http://www.sec.gov/Archives/edgar/data/1416876/0001575705-16-000111-index.html</v>
      </c>
    </row>
    <row r="1930" spans="1:6" x14ac:dyDescent="0.2">
      <c r="A1930" t="s">
        <v>1758</v>
      </c>
      <c r="B1930" s="1">
        <v>1417028</v>
      </c>
      <c r="C1930" s="1">
        <v>7389</v>
      </c>
      <c r="D1930" s="2">
        <v>42474</v>
      </c>
      <c r="E1930" s="1" t="s">
        <v>18</v>
      </c>
      <c r="F1930" t="str">
        <f>HYPERLINK("http://www.sec.gov/Archives/edgar/data/1417028/0001445866-16-001929-index.html")</f>
        <v>http://www.sec.gov/Archives/edgar/data/1417028/0001445866-16-001929-index.html</v>
      </c>
    </row>
    <row r="1931" spans="1:6" x14ac:dyDescent="0.2">
      <c r="A1931" t="s">
        <v>1759</v>
      </c>
      <c r="B1931" s="1">
        <v>1417664</v>
      </c>
      <c r="C1931" s="1">
        <v>7380</v>
      </c>
      <c r="D1931" s="2">
        <v>42474</v>
      </c>
      <c r="E1931" s="1" t="s">
        <v>18</v>
      </c>
      <c r="F1931" t="str">
        <f>HYPERLINK("http://www.sec.gov/Archives/edgar/data/1417664/0001078782-16-002625-index.html")</f>
        <v>http://www.sec.gov/Archives/edgar/data/1417664/0001078782-16-002625-index.html</v>
      </c>
    </row>
    <row r="1932" spans="1:6" x14ac:dyDescent="0.2">
      <c r="A1932" t="s">
        <v>1760</v>
      </c>
      <c r="B1932" s="1">
        <v>1418133</v>
      </c>
      <c r="C1932" s="1">
        <v>2834</v>
      </c>
      <c r="D1932" s="2">
        <v>42474</v>
      </c>
      <c r="E1932" s="1" t="s">
        <v>18</v>
      </c>
      <c r="F1932" t="str">
        <f>HYPERLINK("http://www.sec.gov/Archives/edgar/data/1418133/0001185185-16-004237-index.html")</f>
        <v>http://www.sec.gov/Archives/edgar/data/1418133/0001185185-16-004237-index.html</v>
      </c>
    </row>
    <row r="1933" spans="1:6" x14ac:dyDescent="0.2">
      <c r="A1933" t="s">
        <v>1761</v>
      </c>
      <c r="B1933" s="1">
        <v>1418372</v>
      </c>
      <c r="C1933" s="1">
        <v>7900</v>
      </c>
      <c r="D1933" s="2">
        <v>42474</v>
      </c>
      <c r="E1933" s="1" t="s">
        <v>18</v>
      </c>
      <c r="F1933" t="str">
        <f>HYPERLINK("http://www.sec.gov/Archives/edgar/data/1418372/0001144204-16-094350-index.html")</f>
        <v>http://www.sec.gov/Archives/edgar/data/1418372/0001144204-16-094350-index.html</v>
      </c>
    </row>
    <row r="1934" spans="1:6" x14ac:dyDescent="0.2">
      <c r="A1934" t="s">
        <v>1623</v>
      </c>
      <c r="B1934" s="1">
        <v>1418780</v>
      </c>
      <c r="C1934" s="1">
        <v>3640</v>
      </c>
      <c r="D1934" s="2">
        <v>42474</v>
      </c>
      <c r="E1934" s="1" t="s">
        <v>18</v>
      </c>
      <c r="F1934" t="str">
        <f>HYPERLINK("http://www.sec.gov/Archives/edgar/data/1418780/0001418780-16-000026-index.html")</f>
        <v>http://www.sec.gov/Archives/edgar/data/1418780/0001418780-16-000026-index.html</v>
      </c>
    </row>
    <row r="1935" spans="1:6" x14ac:dyDescent="0.2">
      <c r="A1935" t="s">
        <v>1762</v>
      </c>
      <c r="B1935" s="1">
        <v>1419275</v>
      </c>
      <c r="C1935" s="1">
        <v>8742</v>
      </c>
      <c r="D1935" s="2">
        <v>42474</v>
      </c>
      <c r="E1935" s="1" t="s">
        <v>18</v>
      </c>
      <c r="F1935" t="str">
        <f>HYPERLINK("http://www.sec.gov/Archives/edgar/data/1419275/0001185185-16-004258-index.html")</f>
        <v>http://www.sec.gov/Archives/edgar/data/1419275/0001185185-16-004258-index.html</v>
      </c>
    </row>
    <row r="1936" spans="1:6" x14ac:dyDescent="0.2">
      <c r="A1936" t="s">
        <v>1763</v>
      </c>
      <c r="B1936" s="1">
        <v>1420030</v>
      </c>
      <c r="C1936" s="1">
        <v>2834</v>
      </c>
      <c r="D1936" s="2">
        <v>42474</v>
      </c>
      <c r="E1936" s="1" t="s">
        <v>18</v>
      </c>
      <c r="F1936" t="str">
        <f>HYPERLINK("http://www.sec.gov/Archives/edgar/data/1420030/0001493152-16-008933-index.html")</f>
        <v>http://www.sec.gov/Archives/edgar/data/1420030/0001493152-16-008933-index.html</v>
      </c>
    </row>
    <row r="1937" spans="1:6" x14ac:dyDescent="0.2">
      <c r="A1937" t="s">
        <v>1764</v>
      </c>
      <c r="B1937" s="1">
        <v>1420108</v>
      </c>
      <c r="C1937" s="1">
        <v>2833</v>
      </c>
      <c r="D1937" s="2">
        <v>42474</v>
      </c>
      <c r="E1937" s="1" t="s">
        <v>18</v>
      </c>
      <c r="F1937" t="str">
        <f>HYPERLINK("http://www.sec.gov/Archives/edgar/data/1420108/0001477932-16-009786-index.html")</f>
        <v>http://www.sec.gov/Archives/edgar/data/1420108/0001477932-16-009786-index.html</v>
      </c>
    </row>
    <row r="1938" spans="1:6" x14ac:dyDescent="0.2">
      <c r="A1938" t="s">
        <v>1765</v>
      </c>
      <c r="B1938" s="1">
        <v>1421182</v>
      </c>
      <c r="C1938" s="1">
        <v>2621</v>
      </c>
      <c r="D1938" s="2">
        <v>42474</v>
      </c>
      <c r="E1938" s="1" t="s">
        <v>18</v>
      </c>
      <c r="F1938" t="str">
        <f>HYPERLINK("http://www.sec.gov/Archives/edgar/data/1421182/0001421182-16-000085-index.html")</f>
        <v>http://www.sec.gov/Archives/edgar/data/1421182/0001421182-16-000085-index.html</v>
      </c>
    </row>
    <row r="1939" spans="1:6" x14ac:dyDescent="0.2">
      <c r="A1939" t="s">
        <v>1766</v>
      </c>
      <c r="B1939" s="1">
        <v>1423588</v>
      </c>
      <c r="C1939" s="1">
        <v>6770</v>
      </c>
      <c r="D1939" s="2">
        <v>42474</v>
      </c>
      <c r="E1939" s="1" t="s">
        <v>18</v>
      </c>
      <c r="F1939" t="str">
        <f>HYPERLINK("http://www.sec.gov/Archives/edgar/data/1423588/0001493152-16-008936-index.html")</f>
        <v>http://www.sec.gov/Archives/edgar/data/1423588/0001493152-16-008936-index.html</v>
      </c>
    </row>
    <row r="1940" spans="1:6" x14ac:dyDescent="0.2">
      <c r="A1940" t="s">
        <v>1423</v>
      </c>
      <c r="B1940" s="1">
        <v>1424549</v>
      </c>
      <c r="C1940" s="1">
        <v>5900</v>
      </c>
      <c r="D1940" s="2">
        <v>42474</v>
      </c>
      <c r="E1940" s="1" t="s">
        <v>18</v>
      </c>
      <c r="F1940" t="str">
        <f>HYPERLINK("http://www.sec.gov/Archives/edgar/data/1424549/0001079974-16-001133-index.html")</f>
        <v>http://www.sec.gov/Archives/edgar/data/1424549/0001079974-16-001133-index.html</v>
      </c>
    </row>
    <row r="1941" spans="1:6" x14ac:dyDescent="0.2">
      <c r="A1941" t="s">
        <v>1767</v>
      </c>
      <c r="B1941" s="1">
        <v>1425289</v>
      </c>
      <c r="C1941" s="1">
        <v>1040</v>
      </c>
      <c r="D1941" s="2">
        <v>42474</v>
      </c>
      <c r="E1941" s="1" t="s">
        <v>18</v>
      </c>
      <c r="F1941" t="str">
        <f>HYPERLINK("http://www.sec.gov/Archives/edgar/data/1425289/0001014897-16-000524-index.html")</f>
        <v>http://www.sec.gov/Archives/edgar/data/1425289/0001014897-16-000524-index.html</v>
      </c>
    </row>
    <row r="1942" spans="1:6" x14ac:dyDescent="0.2">
      <c r="A1942" t="s">
        <v>1642</v>
      </c>
      <c r="B1942" s="1">
        <v>1428397</v>
      </c>
      <c r="C1942" s="1">
        <v>7310</v>
      </c>
      <c r="D1942" s="2">
        <v>42474</v>
      </c>
      <c r="E1942" s="1" t="s">
        <v>18</v>
      </c>
      <c r="F1942" t="str">
        <f>HYPERLINK("http://www.sec.gov/Archives/edgar/data/1428397/0001493152-16-008931-index.html")</f>
        <v>http://www.sec.gov/Archives/edgar/data/1428397/0001493152-16-008931-index.html</v>
      </c>
    </row>
    <row r="1943" spans="1:6" x14ac:dyDescent="0.2">
      <c r="A1943" t="s">
        <v>1768</v>
      </c>
      <c r="B1943" s="1">
        <v>1428816</v>
      </c>
      <c r="C1943" s="1">
        <v>7200</v>
      </c>
      <c r="D1943" s="2">
        <v>42474</v>
      </c>
      <c r="E1943" s="1" t="s">
        <v>18</v>
      </c>
      <c r="F1943" t="str">
        <f>HYPERLINK("http://www.sec.gov/Archives/edgar/data/1428816/0001594062-16-000444-index.html")</f>
        <v>http://www.sec.gov/Archives/edgar/data/1428816/0001594062-16-000444-index.html</v>
      </c>
    </row>
    <row r="1944" spans="1:6" x14ac:dyDescent="0.2">
      <c r="A1944" t="s">
        <v>933</v>
      </c>
      <c r="B1944" s="1">
        <v>1431934</v>
      </c>
      <c r="C1944" s="1">
        <v>3841</v>
      </c>
      <c r="D1944" s="2">
        <v>42474</v>
      </c>
      <c r="E1944" s="1" t="s">
        <v>18</v>
      </c>
      <c r="F1944" t="str">
        <f>HYPERLINK("http://www.sec.gov/Archives/edgar/data/1431934/0001295345-16-000509-index.html")</f>
        <v>http://www.sec.gov/Archives/edgar/data/1431934/0001295345-16-000509-index.html</v>
      </c>
    </row>
    <row r="1945" spans="1:6" x14ac:dyDescent="0.2">
      <c r="A1945" t="s">
        <v>1769</v>
      </c>
      <c r="B1945" s="1">
        <v>1432985</v>
      </c>
      <c r="C1945" s="1">
        <v>1311</v>
      </c>
      <c r="D1945" s="2">
        <v>42474</v>
      </c>
      <c r="E1945" s="1" t="s">
        <v>18</v>
      </c>
      <c r="F1945" t="str">
        <f>HYPERLINK("http://www.sec.gov/Archives/edgar/data/1432985/0001564590-16-016240-index.html")</f>
        <v>http://www.sec.gov/Archives/edgar/data/1432985/0001564590-16-016240-index.html</v>
      </c>
    </row>
    <row r="1946" spans="1:6" x14ac:dyDescent="0.2">
      <c r="A1946" t="s">
        <v>1770</v>
      </c>
      <c r="B1946" s="1">
        <v>1432987</v>
      </c>
      <c r="C1946" s="1">
        <v>1311</v>
      </c>
      <c r="D1946" s="2">
        <v>42474</v>
      </c>
      <c r="E1946" s="1" t="s">
        <v>18</v>
      </c>
      <c r="F1946" t="str">
        <f>HYPERLINK("http://www.sec.gov/Archives/edgar/data/1432987/0001564590-16-016237-index.html")</f>
        <v>http://www.sec.gov/Archives/edgar/data/1432987/0001564590-16-016237-index.html</v>
      </c>
    </row>
    <row r="1947" spans="1:6" x14ac:dyDescent="0.2">
      <c r="A1947" t="s">
        <v>1771</v>
      </c>
      <c r="B1947" s="1">
        <v>1434388</v>
      </c>
      <c r="C1947" s="1">
        <v>3577</v>
      </c>
      <c r="D1947" s="2">
        <v>42474</v>
      </c>
      <c r="E1947" s="1" t="s">
        <v>18</v>
      </c>
      <c r="F1947" t="str">
        <f>HYPERLINK("http://www.sec.gov/Archives/edgar/data/1434388/0001213900-16-012538-index.html")</f>
        <v>http://www.sec.gov/Archives/edgar/data/1434388/0001213900-16-012538-index.html</v>
      </c>
    </row>
    <row r="1948" spans="1:6" x14ac:dyDescent="0.2">
      <c r="A1948" t="s">
        <v>1772</v>
      </c>
      <c r="B1948" s="1">
        <v>1434994</v>
      </c>
      <c r="C1948" s="1">
        <v>6770</v>
      </c>
      <c r="D1948" s="2">
        <v>42474</v>
      </c>
      <c r="E1948" s="1" t="s">
        <v>18</v>
      </c>
      <c r="F1948" t="str">
        <f>HYPERLINK("http://www.sec.gov/Archives/edgar/data/1434994/0001052918-16-000959-index.html")</f>
        <v>http://www.sec.gov/Archives/edgar/data/1434994/0001052918-16-000959-index.html</v>
      </c>
    </row>
    <row r="1949" spans="1:6" x14ac:dyDescent="0.2">
      <c r="A1949" t="s">
        <v>1773</v>
      </c>
      <c r="B1949" s="1">
        <v>1435617</v>
      </c>
      <c r="C1949" s="1">
        <v>6770</v>
      </c>
      <c r="D1949" s="2">
        <v>42474</v>
      </c>
      <c r="E1949" s="1" t="s">
        <v>18</v>
      </c>
      <c r="F1949" t="str">
        <f>HYPERLINK("http://www.sec.gov/Archives/edgar/data/1435617/0001213900-16-012518-index.html")</f>
        <v>http://www.sec.gov/Archives/edgar/data/1435617/0001213900-16-012518-index.html</v>
      </c>
    </row>
    <row r="1950" spans="1:6" x14ac:dyDescent="0.2">
      <c r="A1950" t="s">
        <v>1774</v>
      </c>
      <c r="B1950" s="1">
        <v>1437283</v>
      </c>
      <c r="C1950" s="1">
        <v>7372</v>
      </c>
      <c r="D1950" s="2">
        <v>42474</v>
      </c>
      <c r="E1950" s="1" t="s">
        <v>18</v>
      </c>
      <c r="F1950" t="str">
        <f>HYPERLINK("http://www.sec.gov/Archives/edgar/data/1437283/0001214659-16-010883-index.html")</f>
        <v>http://www.sec.gov/Archives/edgar/data/1437283/0001214659-16-010883-index.html</v>
      </c>
    </row>
    <row r="1951" spans="1:6" x14ac:dyDescent="0.2">
      <c r="A1951" t="s">
        <v>497</v>
      </c>
      <c r="B1951" s="1">
        <v>1437517</v>
      </c>
      <c r="C1951" s="1">
        <v>7372</v>
      </c>
      <c r="D1951" s="2">
        <v>42474</v>
      </c>
      <c r="E1951" s="1" t="s">
        <v>18</v>
      </c>
      <c r="F1951" t="str">
        <f>HYPERLINK("http://www.sec.gov/Archives/edgar/data/1437517/0001010549-16-000566-index.html")</f>
        <v>http://www.sec.gov/Archives/edgar/data/1437517/0001010549-16-000566-index.html</v>
      </c>
    </row>
    <row r="1952" spans="1:6" x14ac:dyDescent="0.2">
      <c r="A1952" t="s">
        <v>1775</v>
      </c>
      <c r="B1952" s="1">
        <v>1437557</v>
      </c>
      <c r="C1952" s="1">
        <v>1311</v>
      </c>
      <c r="D1952" s="2">
        <v>42474</v>
      </c>
      <c r="E1952" s="1" t="s">
        <v>18</v>
      </c>
      <c r="F1952" t="str">
        <f>HYPERLINK("http://www.sec.gov/Archives/edgar/data/1437557/0001213900-16-012572-index.html")</f>
        <v>http://www.sec.gov/Archives/edgar/data/1437557/0001213900-16-012572-index.html</v>
      </c>
    </row>
    <row r="1953" spans="1:6" x14ac:dyDescent="0.2">
      <c r="A1953" t="s">
        <v>1776</v>
      </c>
      <c r="B1953" s="1">
        <v>1439397</v>
      </c>
      <c r="C1953" s="1">
        <v>2080</v>
      </c>
      <c r="D1953" s="2">
        <v>42474</v>
      </c>
      <c r="E1953" s="1" t="s">
        <v>18</v>
      </c>
      <c r="F1953" t="str">
        <f>HYPERLINK("http://www.sec.gov/Archives/edgar/data/1439397/0001078782-16-002642-index.html")</f>
        <v>http://www.sec.gov/Archives/edgar/data/1439397/0001078782-16-002642-index.html</v>
      </c>
    </row>
    <row r="1954" spans="1:6" x14ac:dyDescent="0.2">
      <c r="A1954" t="s">
        <v>1777</v>
      </c>
      <c r="B1954" s="1">
        <v>1441769</v>
      </c>
      <c r="C1954" s="1">
        <v>4899</v>
      </c>
      <c r="D1954" s="2">
        <v>42474</v>
      </c>
      <c r="E1954" s="1" t="s">
        <v>18</v>
      </c>
      <c r="F1954" t="str">
        <f>HYPERLINK("http://www.sec.gov/Archives/edgar/data/1441769/0001493152-16-008898-index.html")</f>
        <v>http://www.sec.gov/Archives/edgar/data/1441769/0001493152-16-008898-index.html</v>
      </c>
    </row>
    <row r="1955" spans="1:6" x14ac:dyDescent="0.2">
      <c r="A1955" t="s">
        <v>1778</v>
      </c>
      <c r="B1955" s="1">
        <v>1443863</v>
      </c>
      <c r="C1955" s="1">
        <v>8093</v>
      </c>
      <c r="D1955" s="2">
        <v>42474</v>
      </c>
      <c r="E1955" s="1" t="s">
        <v>18</v>
      </c>
      <c r="F1955" t="str">
        <f>HYPERLINK("http://www.sec.gov/Archives/edgar/data/1443863/0001477932-16-009752-index.html")</f>
        <v>http://www.sec.gov/Archives/edgar/data/1443863/0001477932-16-009752-index.html</v>
      </c>
    </row>
    <row r="1956" spans="1:6" x14ac:dyDescent="0.2">
      <c r="A1956" t="s">
        <v>1555</v>
      </c>
      <c r="B1956" s="1">
        <v>1444839</v>
      </c>
      <c r="C1956" s="1">
        <v>1040</v>
      </c>
      <c r="D1956" s="2">
        <v>42474</v>
      </c>
      <c r="E1956" s="1" t="s">
        <v>18</v>
      </c>
      <c r="F1956" t="str">
        <f>HYPERLINK("http://www.sec.gov/Archives/edgar/data/1444839/0001091818-16-000266-index.html")</f>
        <v>http://www.sec.gov/Archives/edgar/data/1444839/0001091818-16-000266-index.html</v>
      </c>
    </row>
    <row r="1957" spans="1:6" x14ac:dyDescent="0.2">
      <c r="A1957" t="s">
        <v>1539</v>
      </c>
      <c r="B1957" s="1">
        <v>1445235</v>
      </c>
      <c r="C1957" s="1">
        <v>2851</v>
      </c>
      <c r="D1957" s="2">
        <v>42474</v>
      </c>
      <c r="E1957" s="1" t="s">
        <v>18</v>
      </c>
      <c r="F1957" t="str">
        <f>HYPERLINK("http://www.sec.gov/Archives/edgar/data/1445235/0001062993-16-008992-index.html")</f>
        <v>http://www.sec.gov/Archives/edgar/data/1445235/0001062993-16-008992-index.html</v>
      </c>
    </row>
    <row r="1958" spans="1:6" x14ac:dyDescent="0.2">
      <c r="A1958" t="s">
        <v>1779</v>
      </c>
      <c r="B1958" s="1">
        <v>1452176</v>
      </c>
      <c r="C1958" s="1">
        <v>3559</v>
      </c>
      <c r="D1958" s="2">
        <v>42474</v>
      </c>
      <c r="E1958" s="1" t="s">
        <v>18</v>
      </c>
      <c r="F1958" t="str">
        <f>HYPERLINK("http://www.sec.gov/Archives/edgar/data/1452176/0001144204-16-094234-index.html")</f>
        <v>http://www.sec.gov/Archives/edgar/data/1452176/0001144204-16-094234-index.html</v>
      </c>
    </row>
    <row r="1959" spans="1:6" x14ac:dyDescent="0.2">
      <c r="A1959" t="s">
        <v>1258</v>
      </c>
      <c r="B1959" s="1">
        <v>1452872</v>
      </c>
      <c r="C1959" s="1">
        <v>6794</v>
      </c>
      <c r="D1959" s="2">
        <v>42474</v>
      </c>
      <c r="E1959" s="1" t="s">
        <v>18</v>
      </c>
      <c r="F1959" t="str">
        <f>HYPERLINK("http://www.sec.gov/Archives/edgar/data/1452872/0001571049-16-013907-index.html")</f>
        <v>http://www.sec.gov/Archives/edgar/data/1452872/0001571049-16-013907-index.html</v>
      </c>
    </row>
    <row r="1960" spans="1:6" x14ac:dyDescent="0.2">
      <c r="A1960" t="s">
        <v>1780</v>
      </c>
      <c r="B1960" s="1">
        <v>1457435</v>
      </c>
      <c r="C1960" s="1">
        <v>3585</v>
      </c>
      <c r="D1960" s="2">
        <v>42474</v>
      </c>
      <c r="E1960" s="1" t="s">
        <v>18</v>
      </c>
      <c r="F1960" t="str">
        <f>HYPERLINK("http://www.sec.gov/Archives/edgar/data/1457435/0001477932-16-009725-index.html")</f>
        <v>http://www.sec.gov/Archives/edgar/data/1457435/0001477932-16-009725-index.html</v>
      </c>
    </row>
    <row r="1961" spans="1:6" x14ac:dyDescent="0.2">
      <c r="A1961" t="s">
        <v>1781</v>
      </c>
      <c r="B1961" s="1">
        <v>1469284</v>
      </c>
      <c r="C1961" s="1">
        <v>6770</v>
      </c>
      <c r="D1961" s="2">
        <v>42474</v>
      </c>
      <c r="E1961" s="1" t="s">
        <v>18</v>
      </c>
      <c r="F1961" t="str">
        <f>HYPERLINK("http://www.sec.gov/Archives/edgar/data/1469284/0001511164-16-000767-index.html")</f>
        <v>http://www.sec.gov/Archives/edgar/data/1469284/0001511164-16-000767-index.html</v>
      </c>
    </row>
    <row r="1962" spans="1:6" x14ac:dyDescent="0.2">
      <c r="A1962" t="s">
        <v>1782</v>
      </c>
      <c r="B1962" s="1">
        <v>1473654</v>
      </c>
      <c r="C1962" s="1">
        <v>7372</v>
      </c>
      <c r="D1962" s="2">
        <v>42474</v>
      </c>
      <c r="E1962" s="1" t="s">
        <v>18</v>
      </c>
      <c r="F1962" t="str">
        <f>HYPERLINK("http://www.sec.gov/Archives/edgar/data/1473654/0001161697-16-000787-index.html")</f>
        <v>http://www.sec.gov/Archives/edgar/data/1473654/0001161697-16-000787-index.html</v>
      </c>
    </row>
    <row r="1963" spans="1:6" x14ac:dyDescent="0.2">
      <c r="A1963" t="s">
        <v>1783</v>
      </c>
      <c r="B1963" s="1">
        <v>1485029</v>
      </c>
      <c r="C1963" s="1">
        <v>3949</v>
      </c>
      <c r="D1963" s="2">
        <v>42474</v>
      </c>
      <c r="E1963" s="1" t="s">
        <v>18</v>
      </c>
      <c r="F1963" t="str">
        <f>HYPERLINK("http://www.sec.gov/Archives/edgar/data/1485029/0001445866-16-001948-index.html")</f>
        <v>http://www.sec.gov/Archives/edgar/data/1485029/0001445866-16-001948-index.html</v>
      </c>
    </row>
    <row r="1964" spans="1:6" x14ac:dyDescent="0.2">
      <c r="A1964" t="s">
        <v>1784</v>
      </c>
      <c r="B1964" s="1">
        <v>1487561</v>
      </c>
      <c r="C1964" s="1">
        <v>1311</v>
      </c>
      <c r="D1964" s="2">
        <v>42474</v>
      </c>
      <c r="E1964" s="1" t="s">
        <v>18</v>
      </c>
      <c r="F1964" t="str">
        <f>HYPERLINK("http://www.sec.gov/Archives/edgar/data/1487561/0001564590-16-016249-index.html")</f>
        <v>http://www.sec.gov/Archives/edgar/data/1487561/0001564590-16-016249-index.html</v>
      </c>
    </row>
    <row r="1965" spans="1:6" x14ac:dyDescent="0.2">
      <c r="A1965" t="s">
        <v>1785</v>
      </c>
      <c r="B1965" s="1">
        <v>1487906</v>
      </c>
      <c r="C1965" s="1">
        <v>6770</v>
      </c>
      <c r="D1965" s="2">
        <v>42474</v>
      </c>
      <c r="E1965" s="1" t="s">
        <v>18</v>
      </c>
      <c r="F1965" t="str">
        <f>HYPERLINK("http://www.sec.gov/Archives/edgar/data/1487906/0001493152-16-008932-index.html")</f>
        <v>http://www.sec.gov/Archives/edgar/data/1487906/0001493152-16-008932-index.html</v>
      </c>
    </row>
    <row r="1966" spans="1:6" x14ac:dyDescent="0.2">
      <c r="A1966" t="s">
        <v>1626</v>
      </c>
      <c r="B1966" s="1">
        <v>1493563</v>
      </c>
      <c r="C1966" s="1">
        <v>7389</v>
      </c>
      <c r="D1966" s="2">
        <v>42474</v>
      </c>
      <c r="E1966" s="1" t="s">
        <v>18</v>
      </c>
      <c r="F1966" t="str">
        <f>HYPERLINK("http://www.sec.gov/Archives/edgar/data/1493563/0001493152-16-008906-index.html")</f>
        <v>http://www.sec.gov/Archives/edgar/data/1493563/0001493152-16-008906-index.html</v>
      </c>
    </row>
    <row r="1967" spans="1:6" x14ac:dyDescent="0.2">
      <c r="A1967" t="s">
        <v>1786</v>
      </c>
      <c r="B1967" s="1">
        <v>1494722</v>
      </c>
      <c r="C1967" s="1">
        <v>2452</v>
      </c>
      <c r="D1967" s="2">
        <v>42474</v>
      </c>
      <c r="E1967" s="1" t="s">
        <v>18</v>
      </c>
      <c r="F1967" t="str">
        <f>HYPERLINK("http://www.sec.gov/Archives/edgar/data/1494722/0001193805-16-003069-index.html")</f>
        <v>http://www.sec.gov/Archives/edgar/data/1494722/0001193805-16-003069-index.html</v>
      </c>
    </row>
    <row r="1968" spans="1:6" x14ac:dyDescent="0.2">
      <c r="A1968" t="s">
        <v>1787</v>
      </c>
      <c r="B1968" s="1">
        <v>1495536</v>
      </c>
      <c r="C1968" s="1">
        <v>2890</v>
      </c>
      <c r="D1968" s="2">
        <v>42474</v>
      </c>
      <c r="E1968" s="1" t="s">
        <v>18</v>
      </c>
      <c r="F1968" t="str">
        <f>HYPERLINK("http://www.sec.gov/Archives/edgar/data/1495536/0001213900-16-012557-index.html")</f>
        <v>http://www.sec.gov/Archives/edgar/data/1495536/0001213900-16-012557-index.html</v>
      </c>
    </row>
    <row r="1969" spans="1:6" x14ac:dyDescent="0.2">
      <c r="A1969" t="s">
        <v>1788</v>
      </c>
      <c r="B1969" s="1">
        <v>1498380</v>
      </c>
      <c r="C1969" s="1">
        <v>2835</v>
      </c>
      <c r="D1969" s="2">
        <v>42474</v>
      </c>
      <c r="E1969" s="1" t="s">
        <v>18</v>
      </c>
      <c r="F1969" t="str">
        <f>HYPERLINK("http://www.sec.gov/Archives/edgar/data/1498380/0001062993-16-008929-index.html")</f>
        <v>http://www.sec.gov/Archives/edgar/data/1498380/0001062993-16-008929-index.html</v>
      </c>
    </row>
    <row r="1970" spans="1:6" x14ac:dyDescent="0.2">
      <c r="A1970" t="s">
        <v>1789</v>
      </c>
      <c r="B1970" s="1">
        <v>1500122</v>
      </c>
      <c r="C1970" s="1">
        <v>3841</v>
      </c>
      <c r="D1970" s="2">
        <v>42474</v>
      </c>
      <c r="E1970" s="1" t="s">
        <v>18</v>
      </c>
      <c r="F1970" t="str">
        <f>HYPERLINK("http://www.sec.gov/Archives/edgar/data/1500122/0001019687-16-005879-index.html")</f>
        <v>http://www.sec.gov/Archives/edgar/data/1500122/0001019687-16-005879-index.html</v>
      </c>
    </row>
    <row r="1971" spans="1:6" x14ac:dyDescent="0.2">
      <c r="A1971" t="s">
        <v>1790</v>
      </c>
      <c r="B1971" s="1">
        <v>1500198</v>
      </c>
      <c r="C1971" s="1">
        <v>6794</v>
      </c>
      <c r="D1971" s="2">
        <v>42474</v>
      </c>
      <c r="E1971" s="1" t="s">
        <v>18</v>
      </c>
      <c r="F1971" t="str">
        <f>HYPERLINK("http://www.sec.gov/Archives/edgar/data/1500198/0001144204-16-094382-index.html")</f>
        <v>http://www.sec.gov/Archives/edgar/data/1500198/0001144204-16-094382-index.html</v>
      </c>
    </row>
    <row r="1972" spans="1:6" x14ac:dyDescent="0.2">
      <c r="A1972" t="s">
        <v>1791</v>
      </c>
      <c r="B1972" s="1">
        <v>1501257</v>
      </c>
      <c r="C1972" s="1">
        <v>3949</v>
      </c>
      <c r="D1972" s="2">
        <v>42474</v>
      </c>
      <c r="E1972" s="1" t="s">
        <v>18</v>
      </c>
      <c r="F1972" t="str">
        <f>HYPERLINK("http://www.sec.gov/Archives/edgar/data/1501257/0001079974-16-001130-index.html")</f>
        <v>http://www.sec.gov/Archives/edgar/data/1501257/0001079974-16-001130-index.html</v>
      </c>
    </row>
    <row r="1973" spans="1:6" x14ac:dyDescent="0.2">
      <c r="A1973" t="s">
        <v>1792</v>
      </c>
      <c r="B1973" s="1">
        <v>1501862</v>
      </c>
      <c r="C1973" s="1">
        <v>3944</v>
      </c>
      <c r="D1973" s="2">
        <v>42474</v>
      </c>
      <c r="E1973" s="1" t="s">
        <v>18</v>
      </c>
      <c r="F1973" t="str">
        <f>HYPERLINK("http://www.sec.gov/Archives/edgar/data/1501862/0001213900-16-012485-index.html")</f>
        <v>http://www.sec.gov/Archives/edgar/data/1501862/0001213900-16-012485-index.html</v>
      </c>
    </row>
    <row r="1974" spans="1:6" x14ac:dyDescent="0.2">
      <c r="A1974" t="s">
        <v>1793</v>
      </c>
      <c r="B1974" s="1">
        <v>1502555</v>
      </c>
      <c r="C1974" s="1">
        <v>1040</v>
      </c>
      <c r="D1974" s="2">
        <v>42474</v>
      </c>
      <c r="E1974" s="1" t="s">
        <v>18</v>
      </c>
      <c r="F1974" t="str">
        <f>HYPERLINK("http://www.sec.gov/Archives/edgar/data/1502555/0001615774-16-004943-index.html")</f>
        <v>http://www.sec.gov/Archives/edgar/data/1502555/0001615774-16-004943-index.html</v>
      </c>
    </row>
    <row r="1975" spans="1:6" x14ac:dyDescent="0.2">
      <c r="A1975" t="s">
        <v>1794</v>
      </c>
      <c r="B1975" s="1">
        <v>1502629</v>
      </c>
      <c r="C1975" s="1">
        <v>7389</v>
      </c>
      <c r="D1975" s="2">
        <v>42474</v>
      </c>
      <c r="E1975" s="1" t="s">
        <v>18</v>
      </c>
      <c r="F1975" t="str">
        <f>HYPERLINK("http://www.sec.gov/Archives/edgar/data/1502629/0001185185-16-004248-index.html")</f>
        <v>http://www.sec.gov/Archives/edgar/data/1502629/0001185185-16-004248-index.html</v>
      </c>
    </row>
    <row r="1976" spans="1:6" x14ac:dyDescent="0.2">
      <c r="A1976" t="s">
        <v>1795</v>
      </c>
      <c r="B1976" s="1">
        <v>1502630</v>
      </c>
      <c r="C1976" s="1">
        <v>2452</v>
      </c>
      <c r="D1976" s="2">
        <v>42474</v>
      </c>
      <c r="E1976" s="1" t="s">
        <v>18</v>
      </c>
      <c r="F1976" t="str">
        <f>HYPERLINK("http://www.sec.gov/Archives/edgar/data/1502630/0001062993-16-008993-index.html")</f>
        <v>http://www.sec.gov/Archives/edgar/data/1502630/0001062993-16-008993-index.html</v>
      </c>
    </row>
    <row r="1977" spans="1:6" x14ac:dyDescent="0.2">
      <c r="A1977" t="s">
        <v>1796</v>
      </c>
      <c r="B1977" s="1">
        <v>1502659</v>
      </c>
      <c r="C1977" s="1">
        <v>5063</v>
      </c>
      <c r="D1977" s="2">
        <v>42474</v>
      </c>
      <c r="E1977" s="1" t="s">
        <v>18</v>
      </c>
      <c r="F1977" t="str">
        <f>HYPERLINK("http://www.sec.gov/Archives/edgar/data/1502659/0001078782-16-002652-index.html")</f>
        <v>http://www.sec.gov/Archives/edgar/data/1502659/0001078782-16-002652-index.html</v>
      </c>
    </row>
    <row r="1978" spans="1:6" x14ac:dyDescent="0.2">
      <c r="A1978" t="s">
        <v>1797</v>
      </c>
      <c r="B1978" s="1">
        <v>1506374</v>
      </c>
      <c r="C1978" s="1">
        <v>1311</v>
      </c>
      <c r="D1978" s="2">
        <v>42474</v>
      </c>
      <c r="E1978" s="1" t="s">
        <v>18</v>
      </c>
      <c r="F1978" t="str">
        <f>HYPERLINK("http://www.sec.gov/Archives/edgar/data/1506374/0001213900-16-012577-index.html")</f>
        <v>http://www.sec.gov/Archives/edgar/data/1506374/0001213900-16-012577-index.html</v>
      </c>
    </row>
    <row r="1979" spans="1:6" x14ac:dyDescent="0.2">
      <c r="A1979" t="s">
        <v>1798</v>
      </c>
      <c r="B1979" s="1">
        <v>1506814</v>
      </c>
      <c r="C1979" s="1">
        <v>1000</v>
      </c>
      <c r="D1979" s="2">
        <v>42474</v>
      </c>
      <c r="E1979" s="1" t="s">
        <v>18</v>
      </c>
      <c r="F1979" t="str">
        <f>HYPERLINK("http://www.sec.gov/Archives/edgar/data/1506814/0001391609-16-000445-index.html")</f>
        <v>http://www.sec.gov/Archives/edgar/data/1506814/0001391609-16-000445-index.html</v>
      </c>
    </row>
    <row r="1980" spans="1:6" x14ac:dyDescent="0.2">
      <c r="A1980" t="s">
        <v>1799</v>
      </c>
      <c r="B1980" s="1">
        <v>1507881</v>
      </c>
      <c r="C1980" s="1">
        <v>8062</v>
      </c>
      <c r="D1980" s="2">
        <v>42474</v>
      </c>
      <c r="E1980" s="1" t="s">
        <v>18</v>
      </c>
      <c r="F1980" t="str">
        <f>HYPERLINK("http://www.sec.gov/Archives/edgar/data/1507881/0001193125-16-541580-index.html")</f>
        <v>http://www.sec.gov/Archives/edgar/data/1507881/0001193125-16-541580-index.html</v>
      </c>
    </row>
    <row r="1981" spans="1:6" x14ac:dyDescent="0.2">
      <c r="A1981" t="s">
        <v>1800</v>
      </c>
      <c r="B1981" s="1">
        <v>1510964</v>
      </c>
      <c r="C1981" s="1">
        <v>2833</v>
      </c>
      <c r="D1981" s="2">
        <v>42474</v>
      </c>
      <c r="E1981" s="1" t="s">
        <v>18</v>
      </c>
      <c r="F1981" t="str">
        <f>HYPERLINK("http://www.sec.gov/Archives/edgar/data/1510964/0001019687-16-005892-index.html")</f>
        <v>http://www.sec.gov/Archives/edgar/data/1510964/0001019687-16-005892-index.html</v>
      </c>
    </row>
    <row r="1982" spans="1:6" x14ac:dyDescent="0.2">
      <c r="A1982" t="s">
        <v>1801</v>
      </c>
      <c r="B1982" s="1">
        <v>1514946</v>
      </c>
      <c r="C1982" s="1">
        <v>2834</v>
      </c>
      <c r="D1982" s="2">
        <v>42474</v>
      </c>
      <c r="E1982" s="1" t="s">
        <v>18</v>
      </c>
      <c r="F1982" t="str">
        <f>HYPERLINK("http://www.sec.gov/Archives/edgar/data/1514946/0001387308-16-000187-index.html")</f>
        <v>http://www.sec.gov/Archives/edgar/data/1514946/0001387308-16-000187-index.html</v>
      </c>
    </row>
    <row r="1983" spans="1:6" x14ac:dyDescent="0.2">
      <c r="A1983" t="s">
        <v>1802</v>
      </c>
      <c r="B1983" s="1">
        <v>1518520</v>
      </c>
      <c r="C1983" s="1">
        <v>8731</v>
      </c>
      <c r="D1983" s="2">
        <v>42474</v>
      </c>
      <c r="E1983" s="1" t="s">
        <v>18</v>
      </c>
      <c r="F1983" t="str">
        <f>HYPERLINK("http://www.sec.gov/Archives/edgar/data/1518520/0001213900-16-012530-index.html")</f>
        <v>http://www.sec.gov/Archives/edgar/data/1518520/0001213900-16-012530-index.html</v>
      </c>
    </row>
    <row r="1984" spans="1:6" x14ac:dyDescent="0.2">
      <c r="A1984" t="s">
        <v>1665</v>
      </c>
      <c r="B1984" s="1">
        <v>1520528</v>
      </c>
      <c r="C1984" s="1">
        <v>6531</v>
      </c>
      <c r="D1984" s="2">
        <v>42474</v>
      </c>
      <c r="E1984" s="1" t="s">
        <v>18</v>
      </c>
      <c r="F1984" t="str">
        <f>HYPERLINK("http://www.sec.gov/Archives/edgar/data/1520528/0001173375-16-000178-index.html")</f>
        <v>http://www.sec.gov/Archives/edgar/data/1520528/0001173375-16-000178-index.html</v>
      </c>
    </row>
    <row r="1985" spans="1:6" x14ac:dyDescent="0.2">
      <c r="A1985" t="s">
        <v>1803</v>
      </c>
      <c r="B1985" s="1">
        <v>1521222</v>
      </c>
      <c r="C1985" s="1">
        <v>8742</v>
      </c>
      <c r="D1985" s="2">
        <v>42474</v>
      </c>
      <c r="E1985" s="1" t="s">
        <v>18</v>
      </c>
      <c r="F1985" t="str">
        <f>HYPERLINK("http://www.sec.gov/Archives/edgar/data/1521222/0001213900-16-012566-index.html")</f>
        <v>http://www.sec.gov/Archives/edgar/data/1521222/0001213900-16-012566-index.html</v>
      </c>
    </row>
    <row r="1986" spans="1:6" x14ac:dyDescent="0.2">
      <c r="A1986" t="s">
        <v>1804</v>
      </c>
      <c r="B1986" s="1">
        <v>1521549</v>
      </c>
      <c r="C1986" s="1">
        <v>2330</v>
      </c>
      <c r="D1986" s="2">
        <v>42474</v>
      </c>
      <c r="E1986" s="1" t="s">
        <v>18</v>
      </c>
      <c r="F1986" t="str">
        <f>HYPERLINK("http://www.sec.gov/Archives/edgar/data/1521549/0001393905-16-000849-index.html")</f>
        <v>http://www.sec.gov/Archives/edgar/data/1521549/0001393905-16-000849-index.html</v>
      </c>
    </row>
    <row r="1987" spans="1:6" x14ac:dyDescent="0.2">
      <c r="A1987" t="s">
        <v>1805</v>
      </c>
      <c r="B1987" s="1">
        <v>1522704</v>
      </c>
      <c r="C1987" s="1">
        <v>2111</v>
      </c>
      <c r="D1987" s="2">
        <v>42474</v>
      </c>
      <c r="E1987" s="1" t="s">
        <v>18</v>
      </c>
      <c r="F1987" t="str">
        <f>HYPERLINK("http://www.sec.gov/Archives/edgar/data/1522704/0001213900-16-012525-index.html")</f>
        <v>http://www.sec.gov/Archives/edgar/data/1522704/0001213900-16-012525-index.html</v>
      </c>
    </row>
    <row r="1988" spans="1:6" x14ac:dyDescent="0.2">
      <c r="A1988" t="s">
        <v>1806</v>
      </c>
      <c r="B1988" s="1">
        <v>1524872</v>
      </c>
      <c r="C1988" s="1">
        <v>6770</v>
      </c>
      <c r="D1988" s="2">
        <v>42474</v>
      </c>
      <c r="E1988" s="1" t="s">
        <v>18</v>
      </c>
      <c r="F1988" t="str">
        <f>HYPERLINK("http://www.sec.gov/Archives/edgar/data/1524872/0001477932-16-009787-index.html")</f>
        <v>http://www.sec.gov/Archives/edgar/data/1524872/0001477932-16-009787-index.html</v>
      </c>
    </row>
    <row r="1989" spans="1:6" x14ac:dyDescent="0.2">
      <c r="A1989" t="s">
        <v>1807</v>
      </c>
      <c r="B1989" s="1">
        <v>1527385</v>
      </c>
      <c r="C1989" s="1">
        <v>7372</v>
      </c>
      <c r="D1989" s="2">
        <v>42474</v>
      </c>
      <c r="E1989" s="1" t="s">
        <v>18</v>
      </c>
      <c r="F1989" t="str">
        <f>HYPERLINK("http://www.sec.gov/Archives/edgar/data/1527385/0001144204-16-094356-index.html")</f>
        <v>http://www.sec.gov/Archives/edgar/data/1527385/0001144204-16-094356-index.html</v>
      </c>
    </row>
    <row r="1990" spans="1:6" x14ac:dyDescent="0.2">
      <c r="A1990" t="s">
        <v>1808</v>
      </c>
      <c r="B1990" s="1">
        <v>1529804</v>
      </c>
      <c r="C1990" s="1">
        <v>6770</v>
      </c>
      <c r="D1990" s="2">
        <v>42474</v>
      </c>
      <c r="E1990" s="1" t="s">
        <v>18</v>
      </c>
      <c r="F1990" t="str">
        <f>HYPERLINK("http://www.sec.gov/Archives/edgar/data/1529804/0001617819-16-000133-index.html")</f>
        <v>http://www.sec.gov/Archives/edgar/data/1529804/0001617819-16-000133-index.html</v>
      </c>
    </row>
    <row r="1991" spans="1:6" x14ac:dyDescent="0.2">
      <c r="A1991" t="s">
        <v>1809</v>
      </c>
      <c r="B1991" s="1">
        <v>1541884</v>
      </c>
      <c r="C1991" s="1">
        <v>3841</v>
      </c>
      <c r="D1991" s="2">
        <v>42474</v>
      </c>
      <c r="E1991" s="1" t="s">
        <v>18</v>
      </c>
      <c r="F1991" t="str">
        <f>HYPERLINK("http://www.sec.gov/Archives/edgar/data/1541884/0001078782-16-002627-index.html")</f>
        <v>http://www.sec.gov/Archives/edgar/data/1541884/0001078782-16-002627-index.html</v>
      </c>
    </row>
    <row r="1992" spans="1:6" x14ac:dyDescent="0.2">
      <c r="A1992" t="s">
        <v>1810</v>
      </c>
      <c r="B1992" s="1">
        <v>1543272</v>
      </c>
      <c r="C1992" s="1">
        <v>7370</v>
      </c>
      <c r="D1992" s="2">
        <v>42474</v>
      </c>
      <c r="E1992" s="1" t="s">
        <v>18</v>
      </c>
      <c r="F1992" t="str">
        <f>HYPERLINK("http://www.sec.gov/Archives/edgar/data/1543272/0001504412-16-000230-index.html")</f>
        <v>http://www.sec.gov/Archives/edgar/data/1543272/0001504412-16-000230-index.html</v>
      </c>
    </row>
    <row r="1993" spans="1:6" x14ac:dyDescent="0.2">
      <c r="A1993" t="s">
        <v>1811</v>
      </c>
      <c r="B1993" s="1">
        <v>1543623</v>
      </c>
      <c r="C1993" s="1">
        <v>3829</v>
      </c>
      <c r="D1993" s="2">
        <v>42474</v>
      </c>
      <c r="E1993" s="1" t="s">
        <v>18</v>
      </c>
      <c r="F1993" t="str">
        <f>HYPERLINK("http://www.sec.gov/Archives/edgar/data/1543623/0001659173-16-000242-index.html")</f>
        <v>http://www.sec.gov/Archives/edgar/data/1543623/0001659173-16-000242-index.html</v>
      </c>
    </row>
    <row r="1994" spans="1:6" x14ac:dyDescent="0.2">
      <c r="A1994" t="s">
        <v>1812</v>
      </c>
      <c r="B1994" s="1">
        <v>1547638</v>
      </c>
      <c r="C1994" s="1">
        <v>4922</v>
      </c>
      <c r="D1994" s="2">
        <v>42474</v>
      </c>
      <c r="E1994" s="1" t="s">
        <v>18</v>
      </c>
      <c r="F1994" t="str">
        <f>HYPERLINK("http://www.sec.gov/Archives/edgar/data/1547638/0001547638-16-000059-index.html")</f>
        <v>http://www.sec.gov/Archives/edgar/data/1547638/0001547638-16-000059-index.html</v>
      </c>
    </row>
    <row r="1995" spans="1:6" x14ac:dyDescent="0.2">
      <c r="A1995" t="s">
        <v>1813</v>
      </c>
      <c r="B1995" s="1">
        <v>1550737</v>
      </c>
      <c r="C1995" s="1">
        <v>2330</v>
      </c>
      <c r="D1995" s="2">
        <v>42474</v>
      </c>
      <c r="E1995" s="1" t="s">
        <v>18</v>
      </c>
      <c r="F1995" t="str">
        <f>HYPERLINK("http://www.sec.gov/Archives/edgar/data/1550737/0001477932-16-009746-index.html")</f>
        <v>http://www.sec.gov/Archives/edgar/data/1550737/0001477932-16-009746-index.html</v>
      </c>
    </row>
    <row r="1996" spans="1:6" x14ac:dyDescent="0.2">
      <c r="A1996" t="s">
        <v>1814</v>
      </c>
      <c r="B1996" s="1">
        <v>1552743</v>
      </c>
      <c r="C1996" s="1">
        <v>6770</v>
      </c>
      <c r="D1996" s="2">
        <v>42474</v>
      </c>
      <c r="E1996" s="1" t="s">
        <v>18</v>
      </c>
      <c r="F1996" t="str">
        <f>HYPERLINK("http://www.sec.gov/Archives/edgar/data/1552743/0001078782-16-002656-index.html")</f>
        <v>http://www.sec.gov/Archives/edgar/data/1552743/0001078782-16-002656-index.html</v>
      </c>
    </row>
    <row r="1997" spans="1:6" x14ac:dyDescent="0.2">
      <c r="A1997" t="s">
        <v>1815</v>
      </c>
      <c r="B1997" s="1">
        <v>1556226</v>
      </c>
      <c r="C1997" s="1">
        <v>4832</v>
      </c>
      <c r="D1997" s="2">
        <v>42474</v>
      </c>
      <c r="E1997" s="1" t="s">
        <v>18</v>
      </c>
      <c r="F1997" t="str">
        <f>HYPERLINK("http://www.sec.gov/Archives/edgar/data/1556226/0001477932-16-009783-index.html")</f>
        <v>http://www.sec.gov/Archives/edgar/data/1556226/0001477932-16-009783-index.html</v>
      </c>
    </row>
    <row r="1998" spans="1:6" x14ac:dyDescent="0.2">
      <c r="A1998" t="s">
        <v>1816</v>
      </c>
      <c r="B1998" s="1">
        <v>1556266</v>
      </c>
      <c r="C1998" s="1">
        <v>6021</v>
      </c>
      <c r="D1998" s="2">
        <v>42474</v>
      </c>
      <c r="E1998" s="1" t="s">
        <v>18</v>
      </c>
      <c r="F1998" t="str">
        <f>HYPERLINK("http://www.sec.gov/Archives/edgar/data/1556266/0001213900-16-012552-index.html")</f>
        <v>http://www.sec.gov/Archives/edgar/data/1556266/0001213900-16-012552-index.html</v>
      </c>
    </row>
    <row r="1999" spans="1:6" x14ac:dyDescent="0.2">
      <c r="A1999" t="s">
        <v>1817</v>
      </c>
      <c r="B1999" s="1">
        <v>1559754</v>
      </c>
      <c r="C1999" s="1">
        <v>7310</v>
      </c>
      <c r="D1999" s="2">
        <v>42474</v>
      </c>
      <c r="E1999" s="1" t="s">
        <v>18</v>
      </c>
      <c r="F1999" t="str">
        <f>HYPERLINK("http://www.sec.gov/Archives/edgar/data/1559754/0001615774-16-004957-index.html")</f>
        <v>http://www.sec.gov/Archives/edgar/data/1559754/0001615774-16-004957-index.html</v>
      </c>
    </row>
    <row r="2000" spans="1:6" x14ac:dyDescent="0.2">
      <c r="A2000" t="s">
        <v>1818</v>
      </c>
      <c r="B2000" s="1">
        <v>1563315</v>
      </c>
      <c r="C2000" s="1">
        <v>5961</v>
      </c>
      <c r="D2000" s="2">
        <v>42474</v>
      </c>
      <c r="E2000" s="1" t="s">
        <v>18</v>
      </c>
      <c r="F2000" t="str">
        <f>HYPERLINK("http://www.sec.gov/Archives/edgar/data/1563315/0001213900-16-012568-index.html")</f>
        <v>http://www.sec.gov/Archives/edgar/data/1563315/0001213900-16-012568-index.html</v>
      </c>
    </row>
    <row r="2001" spans="1:6" x14ac:dyDescent="0.2">
      <c r="A2001" t="s">
        <v>1819</v>
      </c>
      <c r="B2001" s="1">
        <v>1563536</v>
      </c>
      <c r="C2001" s="1">
        <v>5090</v>
      </c>
      <c r="D2001" s="2">
        <v>42474</v>
      </c>
      <c r="E2001" s="1" t="s">
        <v>18</v>
      </c>
      <c r="F2001" t="str">
        <f>HYPERLINK("http://www.sec.gov/Archives/edgar/data/1563536/0001295345-16-000516-index.html")</f>
        <v>http://www.sec.gov/Archives/edgar/data/1563536/0001295345-16-000516-index.html</v>
      </c>
    </row>
    <row r="2002" spans="1:6" x14ac:dyDescent="0.2">
      <c r="A2002" t="s">
        <v>1820</v>
      </c>
      <c r="B2002" s="1">
        <v>1565228</v>
      </c>
      <c r="C2002" s="1">
        <v>3669</v>
      </c>
      <c r="D2002" s="2">
        <v>42474</v>
      </c>
      <c r="E2002" s="1" t="s">
        <v>18</v>
      </c>
      <c r="F2002" t="str">
        <f>HYPERLINK("http://www.sec.gov/Archives/edgar/data/1565228/0001144204-16-094443-index.html")</f>
        <v>http://www.sec.gov/Archives/edgar/data/1565228/0001144204-16-094443-index.html</v>
      </c>
    </row>
    <row r="2003" spans="1:6" x14ac:dyDescent="0.2">
      <c r="A2003" t="s">
        <v>1821</v>
      </c>
      <c r="B2003" s="1">
        <v>1566826</v>
      </c>
      <c r="C2003" s="1">
        <v>7381</v>
      </c>
      <c r="D2003" s="2">
        <v>42474</v>
      </c>
      <c r="E2003" s="1" t="s">
        <v>18</v>
      </c>
      <c r="F2003" t="str">
        <f>HYPERLINK("http://www.sec.gov/Archives/edgar/data/1566826/0001213900-16-012575-index.html")</f>
        <v>http://www.sec.gov/Archives/edgar/data/1566826/0001213900-16-012575-index.html</v>
      </c>
    </row>
    <row r="2004" spans="1:6" x14ac:dyDescent="0.2">
      <c r="A2004" t="s">
        <v>1822</v>
      </c>
      <c r="B2004" s="1">
        <v>1566978</v>
      </c>
      <c r="C2004" s="1">
        <v>2833</v>
      </c>
      <c r="D2004" s="2">
        <v>42474</v>
      </c>
      <c r="E2004" s="1" t="s">
        <v>42</v>
      </c>
      <c r="F2004" t="str">
        <f>HYPERLINK("http://www.sec.gov/Archives/edgar/data/1566978/0001047469-16-012182-index.html")</f>
        <v>http://www.sec.gov/Archives/edgar/data/1566978/0001047469-16-012182-index.html</v>
      </c>
    </row>
    <row r="2005" spans="1:6" x14ac:dyDescent="0.2">
      <c r="A2005" t="s">
        <v>1823</v>
      </c>
      <c r="B2005" s="1">
        <v>1567900</v>
      </c>
      <c r="C2005" s="1">
        <v>5122</v>
      </c>
      <c r="D2005" s="2">
        <v>42474</v>
      </c>
      <c r="E2005" s="1" t="s">
        <v>18</v>
      </c>
      <c r="F2005" t="str">
        <f>HYPERLINK("http://www.sec.gov/Archives/edgar/data/1567900/0001010549-16-000569-index.html")</f>
        <v>http://www.sec.gov/Archives/edgar/data/1567900/0001010549-16-000569-index.html</v>
      </c>
    </row>
    <row r="2006" spans="1:6" x14ac:dyDescent="0.2">
      <c r="A2006" t="s">
        <v>1824</v>
      </c>
      <c r="B2006" s="1">
        <v>1569340</v>
      </c>
      <c r="C2006" s="1">
        <v>2834</v>
      </c>
      <c r="D2006" s="2">
        <v>42474</v>
      </c>
      <c r="E2006" s="1" t="s">
        <v>18</v>
      </c>
      <c r="F2006" t="str">
        <f>HYPERLINK("http://www.sec.gov/Archives/edgar/data/1569340/0001165527-16-000733-index.html")</f>
        <v>http://www.sec.gov/Archives/edgar/data/1569340/0001165527-16-000733-index.html</v>
      </c>
    </row>
    <row r="2007" spans="1:6" x14ac:dyDescent="0.2">
      <c r="A2007" t="s">
        <v>1825</v>
      </c>
      <c r="B2007" s="1">
        <v>1569737</v>
      </c>
      <c r="C2007" s="1">
        <v>2833</v>
      </c>
      <c r="D2007" s="2">
        <v>42474</v>
      </c>
      <c r="E2007" s="1" t="s">
        <v>18</v>
      </c>
      <c r="F2007" t="str">
        <f>HYPERLINK("http://www.sec.gov/Archives/edgar/data/1569737/0001640334-16-000955-index.html")</f>
        <v>http://www.sec.gov/Archives/edgar/data/1569737/0001640334-16-000955-index.html</v>
      </c>
    </row>
    <row r="2008" spans="1:6" x14ac:dyDescent="0.2">
      <c r="A2008" t="s">
        <v>1826</v>
      </c>
      <c r="B2008" s="1">
        <v>1572386</v>
      </c>
      <c r="C2008" s="1">
        <v>2090</v>
      </c>
      <c r="D2008" s="2">
        <v>42474</v>
      </c>
      <c r="E2008" s="1" t="s">
        <v>18</v>
      </c>
      <c r="F2008" t="str">
        <f>HYPERLINK("http://www.sec.gov/Archives/edgar/data/1572386/0001010549-16-000571-index.html")</f>
        <v>http://www.sec.gov/Archives/edgar/data/1572386/0001010549-16-000571-index.html</v>
      </c>
    </row>
    <row r="2009" spans="1:6" x14ac:dyDescent="0.2">
      <c r="A2009" t="s">
        <v>1827</v>
      </c>
      <c r="B2009" s="1">
        <v>1575142</v>
      </c>
      <c r="C2009" s="1">
        <v>6770</v>
      </c>
      <c r="D2009" s="2">
        <v>42474</v>
      </c>
      <c r="E2009" s="1" t="s">
        <v>18</v>
      </c>
      <c r="F2009" t="str">
        <f>HYPERLINK("http://www.sec.gov/Archives/edgar/data/1575142/0001640334-16-000961-index.html")</f>
        <v>http://www.sec.gov/Archives/edgar/data/1575142/0001640334-16-000961-index.html</v>
      </c>
    </row>
    <row r="2010" spans="1:6" x14ac:dyDescent="0.2">
      <c r="A2010" t="s">
        <v>1530</v>
      </c>
      <c r="B2010" s="1">
        <v>1575913</v>
      </c>
      <c r="C2010" s="1">
        <v>7200</v>
      </c>
      <c r="D2010" s="2">
        <v>42474</v>
      </c>
      <c r="E2010" s="1" t="s">
        <v>18</v>
      </c>
      <c r="F2010" t="str">
        <f>HYPERLINK("http://www.sec.gov/Archives/edgar/data/1575913/0001504412-16-000232-index.html")</f>
        <v>http://www.sec.gov/Archives/edgar/data/1575913/0001504412-16-000232-index.html</v>
      </c>
    </row>
    <row r="2011" spans="1:6" x14ac:dyDescent="0.2">
      <c r="A2011" t="s">
        <v>1828</v>
      </c>
      <c r="B2011" s="1">
        <v>1576197</v>
      </c>
      <c r="C2011" s="1">
        <v>4955</v>
      </c>
      <c r="D2011" s="2">
        <v>42474</v>
      </c>
      <c r="E2011" s="1" t="s">
        <v>18</v>
      </c>
      <c r="F2011" t="str">
        <f>HYPERLINK("http://www.sec.gov/Archives/edgar/data/1576197/0001387131-16-004975-index.html")</f>
        <v>http://www.sec.gov/Archives/edgar/data/1576197/0001387131-16-004975-index.html</v>
      </c>
    </row>
    <row r="2012" spans="1:6" x14ac:dyDescent="0.2">
      <c r="A2012" t="s">
        <v>1829</v>
      </c>
      <c r="B2012" s="1">
        <v>1577898</v>
      </c>
      <c r="C2012" s="1">
        <v>5010</v>
      </c>
      <c r="D2012" s="2">
        <v>42474</v>
      </c>
      <c r="E2012" s="1" t="s">
        <v>18</v>
      </c>
      <c r="F2012" t="str">
        <f>HYPERLINK("http://www.sec.gov/Archives/edgar/data/1577898/0001493152-16-008873-index.html")</f>
        <v>http://www.sec.gov/Archives/edgar/data/1577898/0001493152-16-008873-index.html</v>
      </c>
    </row>
    <row r="2013" spans="1:6" x14ac:dyDescent="0.2">
      <c r="A2013" t="s">
        <v>1830</v>
      </c>
      <c r="B2013" s="1">
        <v>1579157</v>
      </c>
      <c r="C2013" s="1">
        <v>5600</v>
      </c>
      <c r="D2013" s="2">
        <v>42474</v>
      </c>
      <c r="E2013" s="1" t="s">
        <v>18</v>
      </c>
      <c r="F2013" t="str">
        <f>HYPERLINK("http://www.sec.gov/Archives/edgar/data/1579157/0001564590-16-016221-index.html")</f>
        <v>http://www.sec.gov/Archives/edgar/data/1579157/0001564590-16-016221-index.html</v>
      </c>
    </row>
    <row r="2014" spans="1:6" x14ac:dyDescent="0.2">
      <c r="A2014" t="s">
        <v>1831</v>
      </c>
      <c r="B2014" s="1">
        <v>1584137</v>
      </c>
      <c r="C2014" s="1">
        <v>8742</v>
      </c>
      <c r="D2014" s="2">
        <v>42474</v>
      </c>
      <c r="E2014" s="1" t="s">
        <v>18</v>
      </c>
      <c r="F2014" t="str">
        <f>HYPERLINK("http://www.sec.gov/Archives/edgar/data/1584137/0001617819-16-000136-index.html")</f>
        <v>http://www.sec.gov/Archives/edgar/data/1584137/0001617819-16-000136-index.html</v>
      </c>
    </row>
    <row r="2015" spans="1:6" x14ac:dyDescent="0.2">
      <c r="A2015" t="s">
        <v>1832</v>
      </c>
      <c r="B2015" s="1">
        <v>1584489</v>
      </c>
      <c r="C2015" s="1">
        <v>7997</v>
      </c>
      <c r="D2015" s="2">
        <v>42474</v>
      </c>
      <c r="E2015" s="1" t="s">
        <v>18</v>
      </c>
      <c r="F2015" t="str">
        <f>HYPERLINK("http://www.sec.gov/Archives/edgar/data/1584489/0001493152-16-008922-index.html")</f>
        <v>http://www.sec.gov/Archives/edgar/data/1584489/0001493152-16-008922-index.html</v>
      </c>
    </row>
    <row r="2016" spans="1:6" x14ac:dyDescent="0.2">
      <c r="A2016" t="s">
        <v>1833</v>
      </c>
      <c r="B2016" s="1">
        <v>1586495</v>
      </c>
      <c r="C2016" s="1">
        <v>3714</v>
      </c>
      <c r="D2016" s="2">
        <v>42474</v>
      </c>
      <c r="E2016" s="1" t="s">
        <v>18</v>
      </c>
      <c r="F2016" t="str">
        <f>HYPERLINK("http://www.sec.gov/Archives/edgar/data/1586495/0001551163-16-000354-index.html")</f>
        <v>http://www.sec.gov/Archives/edgar/data/1586495/0001551163-16-000354-index.html</v>
      </c>
    </row>
    <row r="2017" spans="1:6" x14ac:dyDescent="0.2">
      <c r="A2017" t="s">
        <v>1834</v>
      </c>
      <c r="B2017" s="1">
        <v>1587063</v>
      </c>
      <c r="C2017" s="1">
        <v>7372</v>
      </c>
      <c r="D2017" s="2">
        <v>42474</v>
      </c>
      <c r="E2017" s="1" t="s">
        <v>18</v>
      </c>
      <c r="F2017" t="str">
        <f>HYPERLINK("http://www.sec.gov/Archives/edgar/data/1587063/0001477932-16-009713-index.html")</f>
        <v>http://www.sec.gov/Archives/edgar/data/1587063/0001477932-16-009713-index.html</v>
      </c>
    </row>
    <row r="2018" spans="1:6" x14ac:dyDescent="0.2">
      <c r="A2018" t="s">
        <v>1835</v>
      </c>
      <c r="B2018" s="1">
        <v>1587476</v>
      </c>
      <c r="C2018" s="1">
        <v>4911</v>
      </c>
      <c r="D2018" s="2">
        <v>42474</v>
      </c>
      <c r="E2018" s="1" t="s">
        <v>18</v>
      </c>
      <c r="F2018" t="str">
        <f>HYPERLINK("http://www.sec.gov/Archives/edgar/data/1587476/0001437749-16-029500-index.html")</f>
        <v>http://www.sec.gov/Archives/edgar/data/1587476/0001437749-16-029500-index.html</v>
      </c>
    </row>
    <row r="2019" spans="1:6" x14ac:dyDescent="0.2">
      <c r="A2019" t="s">
        <v>1836</v>
      </c>
      <c r="B2019" s="1">
        <v>1589361</v>
      </c>
      <c r="C2019" s="1">
        <v>2100</v>
      </c>
      <c r="D2019" s="2">
        <v>42474</v>
      </c>
      <c r="E2019" s="1" t="s">
        <v>18</v>
      </c>
      <c r="F2019" t="str">
        <f>HYPERLINK("http://www.sec.gov/Archives/edgar/data/1589361/0001144204-16-094414-index.html")</f>
        <v>http://www.sec.gov/Archives/edgar/data/1589361/0001144204-16-094414-index.html</v>
      </c>
    </row>
    <row r="2020" spans="1:6" x14ac:dyDescent="0.2">
      <c r="A2020" t="s">
        <v>1837</v>
      </c>
      <c r="B2020" s="1">
        <v>1590695</v>
      </c>
      <c r="C2020" s="1">
        <v>2833</v>
      </c>
      <c r="D2020" s="2">
        <v>42474</v>
      </c>
      <c r="E2020" s="1" t="s">
        <v>18</v>
      </c>
      <c r="F2020" t="str">
        <f>HYPERLINK("http://www.sec.gov/Archives/edgar/data/1590695/0001144204-16-094348-index.html")</f>
        <v>http://www.sec.gov/Archives/edgar/data/1590695/0001144204-16-094348-index.html</v>
      </c>
    </row>
    <row r="2021" spans="1:6" x14ac:dyDescent="0.2">
      <c r="A2021" t="s">
        <v>1838</v>
      </c>
      <c r="B2021" s="1">
        <v>1591165</v>
      </c>
      <c r="C2021" s="1">
        <v>3841</v>
      </c>
      <c r="D2021" s="2">
        <v>42474</v>
      </c>
      <c r="E2021" s="1" t="s">
        <v>18</v>
      </c>
      <c r="F2021" t="str">
        <f>HYPERLINK("http://www.sec.gov/Archives/edgar/data/1591165/0001415889-16-005540-index.html")</f>
        <v>http://www.sec.gov/Archives/edgar/data/1591165/0001415889-16-005540-index.html</v>
      </c>
    </row>
    <row r="2022" spans="1:6" x14ac:dyDescent="0.2">
      <c r="A2022" t="s">
        <v>1839</v>
      </c>
      <c r="B2022" s="1">
        <v>1592592</v>
      </c>
      <c r="C2022" s="1">
        <v>7374</v>
      </c>
      <c r="D2022" s="2">
        <v>42474</v>
      </c>
      <c r="E2022" s="1" t="s">
        <v>18</v>
      </c>
      <c r="F2022" t="str">
        <f>HYPERLINK("http://www.sec.gov/Archives/edgar/data/1592592/0001144204-16-094392-index.html")</f>
        <v>http://www.sec.gov/Archives/edgar/data/1592592/0001144204-16-094392-index.html</v>
      </c>
    </row>
    <row r="2023" spans="1:6" x14ac:dyDescent="0.2">
      <c r="A2023" t="s">
        <v>1840</v>
      </c>
      <c r="B2023" s="1">
        <v>1594204</v>
      </c>
      <c r="C2023" s="1">
        <v>1000</v>
      </c>
      <c r="D2023" s="2">
        <v>42474</v>
      </c>
      <c r="E2023" s="1" t="s">
        <v>18</v>
      </c>
      <c r="F2023" t="str">
        <f>HYPERLINK("http://www.sec.gov/Archives/edgar/data/1594204/0001214659-16-010868-index.html")</f>
        <v>http://www.sec.gov/Archives/edgar/data/1594204/0001214659-16-010868-index.html</v>
      </c>
    </row>
    <row r="2024" spans="1:6" x14ac:dyDescent="0.2">
      <c r="A2024" t="s">
        <v>1841</v>
      </c>
      <c r="B2024" s="1">
        <v>1594485</v>
      </c>
      <c r="C2024" s="1">
        <v>5812</v>
      </c>
      <c r="D2024" s="2">
        <v>42474</v>
      </c>
      <c r="E2024" s="1" t="s">
        <v>18</v>
      </c>
      <c r="F2024" t="str">
        <f>HYPERLINK("http://www.sec.gov/Archives/edgar/data/1594485/0001213900-16-012559-index.html")</f>
        <v>http://www.sec.gov/Archives/edgar/data/1594485/0001213900-16-012559-index.html</v>
      </c>
    </row>
    <row r="2025" spans="1:6" x14ac:dyDescent="0.2">
      <c r="A2025" t="s">
        <v>1842</v>
      </c>
      <c r="B2025" s="1">
        <v>1595552</v>
      </c>
      <c r="C2025" s="1">
        <v>5990</v>
      </c>
      <c r="D2025" s="2">
        <v>42474</v>
      </c>
      <c r="E2025" s="1" t="s">
        <v>18</v>
      </c>
      <c r="F2025" t="str">
        <f>HYPERLINK("http://www.sec.gov/Archives/edgar/data/1595552/0001477932-16-009739-index.html")</f>
        <v>http://www.sec.gov/Archives/edgar/data/1595552/0001477932-16-009739-index.html</v>
      </c>
    </row>
    <row r="2026" spans="1:6" x14ac:dyDescent="0.2">
      <c r="A2026" t="s">
        <v>1843</v>
      </c>
      <c r="B2026" s="1">
        <v>1598924</v>
      </c>
      <c r="C2026" s="1">
        <v>7812</v>
      </c>
      <c r="D2026" s="2">
        <v>42474</v>
      </c>
      <c r="E2026" s="1" t="s">
        <v>18</v>
      </c>
      <c r="F2026" t="str">
        <f>HYPERLINK("http://www.sec.gov/Archives/edgar/data/1598924/0001493152-16-008937-index.html")</f>
        <v>http://www.sec.gov/Archives/edgar/data/1598924/0001493152-16-008937-index.html</v>
      </c>
    </row>
    <row r="2027" spans="1:6" x14ac:dyDescent="0.2">
      <c r="A2027" t="s">
        <v>1844</v>
      </c>
      <c r="B2027" s="1">
        <v>1599407</v>
      </c>
      <c r="C2027" s="1">
        <v>8742</v>
      </c>
      <c r="D2027" s="2">
        <v>42474</v>
      </c>
      <c r="E2027" s="1" t="s">
        <v>18</v>
      </c>
      <c r="F2027" t="str">
        <f>HYPERLINK("http://www.sec.gov/Archives/edgar/data/1599407/0001477932-16-009759-index.html")</f>
        <v>http://www.sec.gov/Archives/edgar/data/1599407/0001477932-16-009759-index.html</v>
      </c>
    </row>
    <row r="2028" spans="1:6" x14ac:dyDescent="0.2">
      <c r="A2028" t="s">
        <v>1845</v>
      </c>
      <c r="B2028" s="1">
        <v>1602706</v>
      </c>
      <c r="C2028" s="1">
        <v>7200</v>
      </c>
      <c r="D2028" s="2">
        <v>42474</v>
      </c>
      <c r="E2028" s="1" t="s">
        <v>18</v>
      </c>
      <c r="F2028" t="str">
        <f>HYPERLINK("http://www.sec.gov/Archives/edgar/data/1602706/0001144204-16-094306-index.html")</f>
        <v>http://www.sec.gov/Archives/edgar/data/1602706/0001144204-16-094306-index.html</v>
      </c>
    </row>
    <row r="2029" spans="1:6" x14ac:dyDescent="0.2">
      <c r="A2029" t="s">
        <v>1846</v>
      </c>
      <c r="B2029" s="1">
        <v>1603494</v>
      </c>
      <c r="C2029" s="1">
        <v>6531</v>
      </c>
      <c r="D2029" s="2">
        <v>42474</v>
      </c>
      <c r="E2029" s="1" t="s">
        <v>18</v>
      </c>
      <c r="F2029" t="str">
        <f>HYPERLINK("http://www.sec.gov/Archives/edgar/data/1603494/0001019687-16-005887-index.html")</f>
        <v>http://www.sec.gov/Archives/edgar/data/1603494/0001019687-16-005887-index.html</v>
      </c>
    </row>
    <row r="2030" spans="1:6" x14ac:dyDescent="0.2">
      <c r="A2030" t="s">
        <v>1847</v>
      </c>
      <c r="B2030" s="1">
        <v>1605024</v>
      </c>
      <c r="C2030" s="1">
        <v>7990</v>
      </c>
      <c r="D2030" s="2">
        <v>42474</v>
      </c>
      <c r="E2030" s="1" t="s">
        <v>18</v>
      </c>
      <c r="F2030" t="str">
        <f>HYPERLINK("http://www.sec.gov/Archives/edgar/data/1605024/0001640334-16-000947-index.html")</f>
        <v>http://www.sec.gov/Archives/edgar/data/1605024/0001640334-16-000947-index.html</v>
      </c>
    </row>
    <row r="2031" spans="1:6" x14ac:dyDescent="0.2">
      <c r="A2031" t="s">
        <v>1848</v>
      </c>
      <c r="B2031" s="1">
        <v>1610764</v>
      </c>
      <c r="C2031" s="1">
        <v>6770</v>
      </c>
      <c r="D2031" s="2">
        <v>42474</v>
      </c>
      <c r="E2031" s="1" t="s">
        <v>18</v>
      </c>
      <c r="F2031" t="str">
        <f>HYPERLINK("http://www.sec.gov/Archives/edgar/data/1610764/0001437749-16-029532-index.html")</f>
        <v>http://www.sec.gov/Archives/edgar/data/1610764/0001437749-16-029532-index.html</v>
      </c>
    </row>
    <row r="2032" spans="1:6" x14ac:dyDescent="0.2">
      <c r="A2032" t="s">
        <v>1849</v>
      </c>
      <c r="B2032" s="1">
        <v>1613011</v>
      </c>
      <c r="C2032" s="1">
        <v>7372</v>
      </c>
      <c r="D2032" s="2">
        <v>42474</v>
      </c>
      <c r="E2032" s="1" t="s">
        <v>18</v>
      </c>
      <c r="F2032" t="str">
        <f>HYPERLINK("http://www.sec.gov/Archives/edgar/data/1613011/0001415889-16-005533-index.html")</f>
        <v>http://www.sec.gov/Archives/edgar/data/1613011/0001415889-16-005533-index.html</v>
      </c>
    </row>
    <row r="2033" spans="1:6" x14ac:dyDescent="0.2">
      <c r="A2033" t="s">
        <v>1850</v>
      </c>
      <c r="B2033" s="1">
        <v>1614826</v>
      </c>
      <c r="C2033" s="1">
        <v>3790</v>
      </c>
      <c r="D2033" s="2">
        <v>42474</v>
      </c>
      <c r="E2033" s="1" t="s">
        <v>18</v>
      </c>
      <c r="F2033" t="str">
        <f>HYPERLINK("http://www.sec.gov/Archives/edgar/data/1614826/0001019687-16-005883-index.html")</f>
        <v>http://www.sec.gov/Archives/edgar/data/1614826/0001019687-16-005883-index.html</v>
      </c>
    </row>
    <row r="2034" spans="1:6" x14ac:dyDescent="0.2">
      <c r="A2034" t="s">
        <v>1851</v>
      </c>
      <c r="B2034" s="1">
        <v>1614924</v>
      </c>
      <c r="C2034" s="1">
        <v>100</v>
      </c>
      <c r="D2034" s="2">
        <v>42474</v>
      </c>
      <c r="E2034" s="1" t="s">
        <v>18</v>
      </c>
      <c r="F2034" t="str">
        <f>HYPERLINK("http://www.sec.gov/Archives/edgar/data/1614924/0001615774-16-004952-index.html")</f>
        <v>http://www.sec.gov/Archives/edgar/data/1614924/0001615774-16-004952-index.html</v>
      </c>
    </row>
    <row r="2035" spans="1:6" x14ac:dyDescent="0.2">
      <c r="A2035" t="s">
        <v>1852</v>
      </c>
      <c r="B2035" s="1">
        <v>1615153</v>
      </c>
      <c r="C2035" s="1">
        <v>5010</v>
      </c>
      <c r="D2035" s="2">
        <v>42474</v>
      </c>
      <c r="E2035" s="1" t="s">
        <v>18</v>
      </c>
      <c r="F2035" t="str">
        <f>HYPERLINK("http://www.sec.gov/Archives/edgar/data/1615153/0001615153-16-000041-index.html")</f>
        <v>http://www.sec.gov/Archives/edgar/data/1615153/0001615153-16-000041-index.html</v>
      </c>
    </row>
    <row r="2036" spans="1:6" x14ac:dyDescent="0.2">
      <c r="A2036" t="s">
        <v>1853</v>
      </c>
      <c r="B2036" s="1">
        <v>1619227</v>
      </c>
      <c r="C2036" s="1">
        <v>5090</v>
      </c>
      <c r="D2036" s="2">
        <v>42474</v>
      </c>
      <c r="E2036" s="1" t="s">
        <v>18</v>
      </c>
      <c r="F2036" t="str">
        <f>HYPERLINK("http://www.sec.gov/Archives/edgar/data/1619227/0001594062-16-000443-index.html")</f>
        <v>http://www.sec.gov/Archives/edgar/data/1619227/0001594062-16-000443-index.html</v>
      </c>
    </row>
    <row r="2037" spans="1:6" x14ac:dyDescent="0.2">
      <c r="A2037" t="s">
        <v>1854</v>
      </c>
      <c r="B2037" s="1">
        <v>1619250</v>
      </c>
      <c r="C2037" s="1">
        <v>5900</v>
      </c>
      <c r="D2037" s="2">
        <v>42474</v>
      </c>
      <c r="E2037" s="1" t="s">
        <v>18</v>
      </c>
      <c r="F2037" t="str">
        <f>HYPERLINK("http://www.sec.gov/Archives/edgar/data/1619250/0001594062-16-000436-index.html")</f>
        <v>http://www.sec.gov/Archives/edgar/data/1619250/0001594062-16-000436-index.html</v>
      </c>
    </row>
    <row r="2038" spans="1:6" x14ac:dyDescent="0.2">
      <c r="A2038" t="s">
        <v>1855</v>
      </c>
      <c r="B2038" s="1">
        <v>1622879</v>
      </c>
      <c r="C2038" s="1">
        <v>8742</v>
      </c>
      <c r="D2038" s="2">
        <v>42474</v>
      </c>
      <c r="E2038" s="1" t="s">
        <v>18</v>
      </c>
      <c r="F2038" t="str">
        <f>HYPERLINK("http://www.sec.gov/Archives/edgar/data/1622879/0001019687-16-005856-index.html")</f>
        <v>http://www.sec.gov/Archives/edgar/data/1622879/0001019687-16-005856-index.html</v>
      </c>
    </row>
    <row r="2039" spans="1:6" x14ac:dyDescent="0.2">
      <c r="A2039" t="s">
        <v>1856</v>
      </c>
      <c r="B2039" s="1">
        <v>1631547</v>
      </c>
      <c r="C2039" s="1">
        <v>3674</v>
      </c>
      <c r="D2039" s="2">
        <v>42474</v>
      </c>
      <c r="E2039" s="1" t="s">
        <v>18</v>
      </c>
      <c r="F2039" t="str">
        <f>HYPERLINK("http://www.sec.gov/Archives/edgar/data/1631547/0001504412-16-000227-index.html")</f>
        <v>http://www.sec.gov/Archives/edgar/data/1631547/0001504412-16-000227-index.html</v>
      </c>
    </row>
    <row r="2040" spans="1:6" x14ac:dyDescent="0.2">
      <c r="A2040" t="s">
        <v>1857</v>
      </c>
      <c r="B2040" s="1">
        <v>1632121</v>
      </c>
      <c r="C2040" s="1">
        <v>8742</v>
      </c>
      <c r="D2040" s="2">
        <v>42474</v>
      </c>
      <c r="E2040" s="1" t="s">
        <v>18</v>
      </c>
      <c r="F2040" t="str">
        <f>HYPERLINK("http://www.sec.gov/Archives/edgar/data/1632121/0001493152-16-008923-index.html")</f>
        <v>http://www.sec.gov/Archives/edgar/data/1632121/0001493152-16-008923-index.html</v>
      </c>
    </row>
    <row r="2041" spans="1:6" x14ac:dyDescent="0.2">
      <c r="A2041" t="s">
        <v>1044</v>
      </c>
      <c r="B2041" s="1">
        <v>1632323</v>
      </c>
      <c r="C2041" s="1">
        <v>2100</v>
      </c>
      <c r="D2041" s="2">
        <v>42474</v>
      </c>
      <c r="E2041" s="1" t="s">
        <v>18</v>
      </c>
      <c r="F2041" t="str">
        <f>HYPERLINK("http://www.sec.gov/Archives/edgar/data/1632323/0001615774-16-004946-index.html")</f>
        <v>http://www.sec.gov/Archives/edgar/data/1632323/0001615774-16-004946-index.html</v>
      </c>
    </row>
    <row r="2042" spans="1:6" x14ac:dyDescent="0.2">
      <c r="A2042" t="s">
        <v>1858</v>
      </c>
      <c r="B2042" s="1">
        <v>1634413</v>
      </c>
      <c r="C2042" s="1">
        <v>6770</v>
      </c>
      <c r="D2042" s="2">
        <v>42474</v>
      </c>
      <c r="E2042" s="1" t="s">
        <v>18</v>
      </c>
      <c r="F2042" t="str">
        <f>HYPERLINK("http://www.sec.gov/Archives/edgar/data/1634413/0001493152-16-008887-index.html")</f>
        <v>http://www.sec.gov/Archives/edgar/data/1634413/0001493152-16-008887-index.html</v>
      </c>
    </row>
    <row r="2043" spans="1:6" x14ac:dyDescent="0.2">
      <c r="A2043" t="s">
        <v>1859</v>
      </c>
      <c r="B2043" s="1">
        <v>1635965</v>
      </c>
      <c r="C2043" s="1">
        <v>7374</v>
      </c>
      <c r="D2043" s="2">
        <v>42474</v>
      </c>
      <c r="E2043" s="1" t="s">
        <v>18</v>
      </c>
      <c r="F2043" t="str">
        <f>HYPERLINK("http://www.sec.gov/Archives/edgar/data/1635965/0001161697-16-000785-index.html")</f>
        <v>http://www.sec.gov/Archives/edgar/data/1635965/0001161697-16-000785-index.html</v>
      </c>
    </row>
    <row r="2044" spans="1:6" x14ac:dyDescent="0.2">
      <c r="A2044" t="s">
        <v>1860</v>
      </c>
      <c r="B2044" s="1">
        <v>1639836</v>
      </c>
      <c r="C2044" s="1">
        <v>6794</v>
      </c>
      <c r="D2044" s="2">
        <v>42474</v>
      </c>
      <c r="E2044" s="1" t="s">
        <v>18</v>
      </c>
      <c r="F2044" t="str">
        <f>HYPERLINK("http://www.sec.gov/Archives/edgar/data/1639836/0001014897-16-000522-index.html")</f>
        <v>http://www.sec.gov/Archives/edgar/data/1639836/0001014897-16-000522-index.html</v>
      </c>
    </row>
    <row r="2045" spans="1:6" x14ac:dyDescent="0.2">
      <c r="A2045" t="s">
        <v>1644</v>
      </c>
      <c r="B2045" s="1">
        <v>1641129</v>
      </c>
      <c r="C2045" s="1">
        <v>7374</v>
      </c>
      <c r="D2045" s="2">
        <v>42474</v>
      </c>
      <c r="E2045" s="1" t="s">
        <v>18</v>
      </c>
      <c r="F2045" t="str">
        <f>HYPERLINK("http://www.sec.gov/Archives/edgar/data/1641129/0001615774-16-004960-index.html")</f>
        <v>http://www.sec.gov/Archives/edgar/data/1641129/0001615774-16-004960-index.html</v>
      </c>
    </row>
    <row r="2046" spans="1:6" x14ac:dyDescent="0.2">
      <c r="A2046" t="s">
        <v>1861</v>
      </c>
      <c r="B2046" s="1">
        <v>1641751</v>
      </c>
      <c r="C2046" s="1">
        <v>5047</v>
      </c>
      <c r="D2046" s="2">
        <v>42474</v>
      </c>
      <c r="E2046" s="1" t="s">
        <v>18</v>
      </c>
      <c r="F2046" t="str">
        <f>HYPERLINK("http://www.sec.gov/Archives/edgar/data/1641751/0001594062-16-000439-index.html")</f>
        <v>http://www.sec.gov/Archives/edgar/data/1641751/0001594062-16-000439-index.html</v>
      </c>
    </row>
    <row r="2047" spans="1:6" x14ac:dyDescent="0.2">
      <c r="A2047" t="s">
        <v>1862</v>
      </c>
      <c r="B2047" s="1">
        <v>1642365</v>
      </c>
      <c r="C2047" s="1">
        <v>5500</v>
      </c>
      <c r="D2047" s="2">
        <v>42474</v>
      </c>
      <c r="E2047" s="1" t="s">
        <v>18</v>
      </c>
      <c r="F2047" t="str">
        <f>HYPERLINK("http://www.sec.gov/Archives/edgar/data/1642365/0001077048-16-000089-index.html")</f>
        <v>http://www.sec.gov/Archives/edgar/data/1642365/0001077048-16-000089-index.html</v>
      </c>
    </row>
    <row r="2048" spans="1:6" x14ac:dyDescent="0.2">
      <c r="A2048" t="s">
        <v>1863</v>
      </c>
      <c r="B2048" s="1">
        <v>1643542</v>
      </c>
      <c r="C2048" s="1">
        <v>7374</v>
      </c>
      <c r="D2048" s="2">
        <v>42474</v>
      </c>
      <c r="E2048" s="1" t="s">
        <v>18</v>
      </c>
      <c r="F2048" t="str">
        <f>HYPERLINK("http://www.sec.gov/Archives/edgar/data/1643542/0001493152-16-008904-index.html")</f>
        <v>http://www.sec.gov/Archives/edgar/data/1643542/0001493152-16-008904-index.html</v>
      </c>
    </row>
    <row r="2049" spans="1:6" x14ac:dyDescent="0.2">
      <c r="A2049" t="s">
        <v>1864</v>
      </c>
      <c r="B2049" s="1">
        <v>1648636</v>
      </c>
      <c r="C2049" s="1">
        <v>1311</v>
      </c>
      <c r="D2049" s="2">
        <v>42474</v>
      </c>
      <c r="E2049" s="1" t="s">
        <v>18</v>
      </c>
      <c r="F2049" t="str">
        <f>HYPERLINK("http://www.sec.gov/Archives/edgar/data/1648636/0001193125-16-540980-index.html")</f>
        <v>http://www.sec.gov/Archives/edgar/data/1648636/0001193125-16-540980-index.html</v>
      </c>
    </row>
    <row r="2050" spans="1:6" x14ac:dyDescent="0.2">
      <c r="A2050" t="s">
        <v>1865</v>
      </c>
      <c r="B2050" s="1">
        <v>1653821</v>
      </c>
      <c r="C2050" s="1">
        <v>2834</v>
      </c>
      <c r="D2050" s="2">
        <v>42474</v>
      </c>
      <c r="E2050" s="1" t="s">
        <v>18</v>
      </c>
      <c r="F2050" t="str">
        <f>HYPERLINK("http://www.sec.gov/Archives/edgar/data/1653821/0001078782-16-002623-index.html")</f>
        <v>http://www.sec.gov/Archives/edgar/data/1653821/0001078782-16-002623-index.html</v>
      </c>
    </row>
    <row r="2051" spans="1:6" x14ac:dyDescent="0.2">
      <c r="A2051" t="s">
        <v>1866</v>
      </c>
      <c r="B2051" s="1">
        <v>319200</v>
      </c>
      <c r="C2051" s="1">
        <v>1311</v>
      </c>
      <c r="D2051" s="2">
        <v>42474</v>
      </c>
      <c r="E2051" s="1" t="s">
        <v>18</v>
      </c>
      <c r="F2051" t="str">
        <f>HYPERLINK("http://www.sec.gov/Archives/edgar/data/319200/0001076542-16-000267-index.html")</f>
        <v>http://www.sec.gov/Archives/edgar/data/319200/0001076542-16-000267-index.html</v>
      </c>
    </row>
    <row r="2052" spans="1:6" x14ac:dyDescent="0.2">
      <c r="A2052" t="s">
        <v>1867</v>
      </c>
      <c r="B2052" s="1">
        <v>350644</v>
      </c>
      <c r="C2052" s="1">
        <v>3661</v>
      </c>
      <c r="D2052" s="2">
        <v>42474</v>
      </c>
      <c r="E2052" s="1" t="s">
        <v>18</v>
      </c>
      <c r="F2052" t="str">
        <f>HYPERLINK("http://www.sec.gov/Archives/edgar/data/350644/0001019687-16-005894-index.html")</f>
        <v>http://www.sec.gov/Archives/edgar/data/350644/0001019687-16-005894-index.html</v>
      </c>
    </row>
    <row r="2053" spans="1:6" x14ac:dyDescent="0.2">
      <c r="A2053" t="s">
        <v>1868</v>
      </c>
      <c r="B2053" s="1">
        <v>59860</v>
      </c>
      <c r="C2053" s="1">
        <v>1000</v>
      </c>
      <c r="D2053" s="2">
        <v>42474</v>
      </c>
      <c r="E2053" s="1" t="s">
        <v>18</v>
      </c>
      <c r="F2053" t="str">
        <f>HYPERLINK("http://www.sec.gov/Archives/edgar/data/59860/0001052918-16-000955-index.html")</f>
        <v>http://www.sec.gov/Archives/edgar/data/59860/0001052918-16-000955-index.html</v>
      </c>
    </row>
    <row r="2054" spans="1:6" x14ac:dyDescent="0.2">
      <c r="A2054" t="s">
        <v>1869</v>
      </c>
      <c r="B2054" s="1">
        <v>65172</v>
      </c>
      <c r="C2054" s="1">
        <v>6795</v>
      </c>
      <c r="D2054" s="2">
        <v>42474</v>
      </c>
      <c r="E2054" s="1" t="s">
        <v>18</v>
      </c>
      <c r="F2054" t="str">
        <f>HYPERLINK("http://www.sec.gov/Archives/edgar/data/65172/0001104659-16-111488-index.html")</f>
        <v>http://www.sec.gov/Archives/edgar/data/65172/0001104659-16-111488-index.html</v>
      </c>
    </row>
    <row r="2055" spans="1:6" x14ac:dyDescent="0.2">
      <c r="A2055" t="s">
        <v>1870</v>
      </c>
      <c r="B2055" s="1">
        <v>70793</v>
      </c>
      <c r="C2055" s="1">
        <v>2834</v>
      </c>
      <c r="D2055" s="2">
        <v>42474</v>
      </c>
      <c r="E2055" s="1" t="s">
        <v>42</v>
      </c>
      <c r="F2055" t="str">
        <f>HYPERLINK("http://www.sec.gov/Archives/edgar/data/70793/0001047469-16-012183-index.html")</f>
        <v>http://www.sec.gov/Archives/edgar/data/70793/0001047469-16-012183-index.html</v>
      </c>
    </row>
    <row r="2056" spans="1:6" x14ac:dyDescent="0.2">
      <c r="A2056" t="s">
        <v>1871</v>
      </c>
      <c r="B2056" s="1">
        <v>714256</v>
      </c>
      <c r="C2056" s="1">
        <v>3842</v>
      </c>
      <c r="D2056" s="2">
        <v>42474</v>
      </c>
      <c r="E2056" s="1" t="s">
        <v>18</v>
      </c>
      <c r="F2056" t="str">
        <f>HYPERLINK("http://www.sec.gov/Archives/edgar/data/714256/0001354488-16-006987-index.html")</f>
        <v>http://www.sec.gov/Archives/edgar/data/714256/0001354488-16-006987-index.html</v>
      </c>
    </row>
    <row r="2057" spans="1:6" x14ac:dyDescent="0.2">
      <c r="A2057" t="s">
        <v>1872</v>
      </c>
      <c r="B2057" s="1">
        <v>724571</v>
      </c>
      <c r="C2057" s="1">
        <v>5331</v>
      </c>
      <c r="D2057" s="2">
        <v>42474</v>
      </c>
      <c r="E2057" s="1" t="s">
        <v>18</v>
      </c>
      <c r="F2057" t="str">
        <f>HYPERLINK("http://www.sec.gov/Archives/edgar/data/724571/0001615774-16-004959-index.html")</f>
        <v>http://www.sec.gov/Archives/edgar/data/724571/0001615774-16-004959-index.html</v>
      </c>
    </row>
    <row r="2058" spans="1:6" x14ac:dyDescent="0.2">
      <c r="A2058" t="s">
        <v>1647</v>
      </c>
      <c r="B2058" s="1">
        <v>792935</v>
      </c>
      <c r="C2058" s="1">
        <v>8062</v>
      </c>
      <c r="D2058" s="2">
        <v>42474</v>
      </c>
      <c r="E2058" s="1" t="s">
        <v>18</v>
      </c>
      <c r="F2058" t="str">
        <f>HYPERLINK("http://www.sec.gov/Archives/edgar/data/792935/0000721748-16-001185-index.html")</f>
        <v>http://www.sec.gov/Archives/edgar/data/792935/0000721748-16-001185-index.html</v>
      </c>
    </row>
    <row r="2059" spans="1:6" x14ac:dyDescent="0.2">
      <c r="A2059" t="s">
        <v>1873</v>
      </c>
      <c r="B2059" s="1">
        <v>795212</v>
      </c>
      <c r="C2059" s="1">
        <v>5735</v>
      </c>
      <c r="D2059" s="2">
        <v>42474</v>
      </c>
      <c r="E2059" s="1" t="s">
        <v>18</v>
      </c>
      <c r="F2059" t="str">
        <f>HYPERLINK("http://www.sec.gov/Archives/edgar/data/795212/0000930413-16-006422-index.html")</f>
        <v>http://www.sec.gov/Archives/edgar/data/795212/0000930413-16-006422-index.html</v>
      </c>
    </row>
    <row r="2060" spans="1:6" x14ac:dyDescent="0.2">
      <c r="A2060" t="s">
        <v>1874</v>
      </c>
      <c r="B2060" s="1">
        <v>808047</v>
      </c>
      <c r="C2060" s="1">
        <v>5411</v>
      </c>
      <c r="D2060" s="2">
        <v>42474</v>
      </c>
      <c r="E2060" s="1" t="s">
        <v>18</v>
      </c>
      <c r="F2060" t="str">
        <f>HYPERLINK("http://www.sec.gov/Archives/edgar/data/808047/0001144204-16-094388-index.html")</f>
        <v>http://www.sec.gov/Archives/edgar/data/808047/0001144204-16-094388-index.html</v>
      </c>
    </row>
    <row r="2061" spans="1:6" x14ac:dyDescent="0.2">
      <c r="A2061" t="s">
        <v>202</v>
      </c>
      <c r="B2061" s="1">
        <v>811830</v>
      </c>
      <c r="C2061" s="1">
        <v>6021</v>
      </c>
      <c r="D2061" s="2">
        <v>42474</v>
      </c>
      <c r="E2061" s="1" t="s">
        <v>18</v>
      </c>
      <c r="F2061" t="str">
        <f>HYPERLINK("http://www.sec.gov/Archives/edgar/data/811830/0000811830-16-000045-index.html")</f>
        <v>http://www.sec.gov/Archives/edgar/data/811830/0000811830-16-000045-index.html</v>
      </c>
    </row>
    <row r="2062" spans="1:6" x14ac:dyDescent="0.2">
      <c r="A2062" t="s">
        <v>1875</v>
      </c>
      <c r="B2062" s="1">
        <v>820600</v>
      </c>
      <c r="C2062" s="1">
        <v>6500</v>
      </c>
      <c r="D2062" s="2">
        <v>42474</v>
      </c>
      <c r="E2062" s="1" t="s">
        <v>18</v>
      </c>
      <c r="F2062" t="str">
        <f>HYPERLINK("http://www.sec.gov/Archives/edgar/data/820600/0001013762-16-001477-index.html")</f>
        <v>http://www.sec.gov/Archives/edgar/data/820600/0001013762-16-001477-index.html</v>
      </c>
    </row>
    <row r="2063" spans="1:6" x14ac:dyDescent="0.2">
      <c r="A2063" t="s">
        <v>1876</v>
      </c>
      <c r="B2063" s="1">
        <v>822746</v>
      </c>
      <c r="C2063" s="1">
        <v>1381</v>
      </c>
      <c r="D2063" s="2">
        <v>42474</v>
      </c>
      <c r="E2063" s="1" t="s">
        <v>18</v>
      </c>
      <c r="F2063" t="str">
        <f>HYPERLINK("http://www.sec.gov/Archives/edgar/data/822746/0001493152-16-008893-index.html")</f>
        <v>http://www.sec.gov/Archives/edgar/data/822746/0001493152-16-008893-index.html</v>
      </c>
    </row>
    <row r="2064" spans="1:6" x14ac:dyDescent="0.2">
      <c r="A2064" t="s">
        <v>1675</v>
      </c>
      <c r="B2064" s="1">
        <v>838796</v>
      </c>
      <c r="C2064" s="1">
        <v>7372</v>
      </c>
      <c r="D2064" s="2">
        <v>42474</v>
      </c>
      <c r="E2064" s="1" t="s">
        <v>18</v>
      </c>
      <c r="F2064" t="str">
        <f>HYPERLINK("http://www.sec.gov/Archives/edgar/data/838796/0001607062-16-000791-index.html")</f>
        <v>http://www.sec.gov/Archives/edgar/data/838796/0001607062-16-000791-index.html</v>
      </c>
    </row>
    <row r="2065" spans="1:6" x14ac:dyDescent="0.2">
      <c r="A2065" t="s">
        <v>1877</v>
      </c>
      <c r="B2065" s="1">
        <v>844161</v>
      </c>
      <c r="C2065" s="1">
        <v>2330</v>
      </c>
      <c r="D2065" s="2">
        <v>42474</v>
      </c>
      <c r="E2065" s="1" t="s">
        <v>18</v>
      </c>
      <c r="F2065" t="str">
        <f>HYPERLINK("http://www.sec.gov/Archives/edgar/data/844161/0001558370-16-004657-index.html")</f>
        <v>http://www.sec.gov/Archives/edgar/data/844161/0001558370-16-004657-index.html</v>
      </c>
    </row>
    <row r="2066" spans="1:6" x14ac:dyDescent="0.2">
      <c r="A2066" t="s">
        <v>1878</v>
      </c>
      <c r="B2066" s="1">
        <v>854800</v>
      </c>
      <c r="C2066" s="1">
        <v>3670</v>
      </c>
      <c r="D2066" s="2">
        <v>42474</v>
      </c>
      <c r="E2066" s="1" t="s">
        <v>18</v>
      </c>
      <c r="F2066" t="str">
        <f>HYPERLINK("http://www.sec.gov/Archives/edgar/data/854800/0001178913-16-005073-index.html")</f>
        <v>http://www.sec.gov/Archives/edgar/data/854800/0001178913-16-005073-index.html</v>
      </c>
    </row>
    <row r="2067" spans="1:6" x14ac:dyDescent="0.2">
      <c r="A2067" t="s">
        <v>1364</v>
      </c>
      <c r="B2067" s="1">
        <v>866970</v>
      </c>
      <c r="C2067" s="1">
        <v>3640</v>
      </c>
      <c r="D2067" s="2">
        <v>42474</v>
      </c>
      <c r="E2067" s="1" t="s">
        <v>18</v>
      </c>
      <c r="F2067" t="str">
        <f>HYPERLINK("http://www.sec.gov/Archives/edgar/data/866970/0001437749-16-029499-index.html")</f>
        <v>http://www.sec.gov/Archives/edgar/data/866970/0001437749-16-029499-index.html</v>
      </c>
    </row>
    <row r="2068" spans="1:6" x14ac:dyDescent="0.2">
      <c r="A2068" t="s">
        <v>1879</v>
      </c>
      <c r="B2068" s="1">
        <v>874792</v>
      </c>
      <c r="C2068" s="1">
        <v>1382</v>
      </c>
      <c r="D2068" s="2">
        <v>42474</v>
      </c>
      <c r="E2068" s="1" t="s">
        <v>18</v>
      </c>
      <c r="F2068" t="str">
        <f>HYPERLINK("http://www.sec.gov/Archives/edgar/data/874792/0001185185-16-004253-index.html")</f>
        <v>http://www.sec.gov/Archives/edgar/data/874792/0001185185-16-004253-index.html</v>
      </c>
    </row>
    <row r="2069" spans="1:6" x14ac:dyDescent="0.2">
      <c r="A2069" t="s">
        <v>1880</v>
      </c>
      <c r="B2069" s="1">
        <v>896985</v>
      </c>
      <c r="C2069" s="1">
        <v>5621</v>
      </c>
      <c r="D2069" s="2">
        <v>42474</v>
      </c>
      <c r="E2069" s="1" t="s">
        <v>18</v>
      </c>
      <c r="F2069" t="str">
        <f>HYPERLINK("http://www.sec.gov/Archives/edgar/data/896985/0001564590-16-016192-index.html")</f>
        <v>http://www.sec.gov/Archives/edgar/data/896985/0001564590-16-016192-index.html</v>
      </c>
    </row>
    <row r="2070" spans="1:6" x14ac:dyDescent="0.2">
      <c r="A2070" t="s">
        <v>1881</v>
      </c>
      <c r="B2070" s="1">
        <v>900349</v>
      </c>
      <c r="C2070" s="1">
        <v>2320</v>
      </c>
      <c r="D2070" s="2">
        <v>42474</v>
      </c>
      <c r="E2070" s="1" t="s">
        <v>18</v>
      </c>
      <c r="F2070" t="str">
        <f>HYPERLINK("http://www.sec.gov/Archives/edgar/data/900349/0001193125-16-541296-index.html")</f>
        <v>http://www.sec.gov/Archives/edgar/data/900349/0001193125-16-541296-index.html</v>
      </c>
    </row>
    <row r="2071" spans="1:6" x14ac:dyDescent="0.2">
      <c r="A2071" t="s">
        <v>1882</v>
      </c>
      <c r="B2071" s="1">
        <v>904896</v>
      </c>
      <c r="C2071" s="1">
        <v>4950</v>
      </c>
      <c r="D2071" s="2">
        <v>42474</v>
      </c>
      <c r="E2071" s="1" t="s">
        <v>18</v>
      </c>
      <c r="F2071" t="str">
        <f>HYPERLINK("http://www.sec.gov/Archives/edgar/data/904896/0000904896-16-000058-index.html")</f>
        <v>http://www.sec.gov/Archives/edgar/data/904896/0000904896-16-000058-index.html</v>
      </c>
    </row>
    <row r="2072" spans="1:6" x14ac:dyDescent="0.2">
      <c r="A2072" t="s">
        <v>1883</v>
      </c>
      <c r="B2072" s="1">
        <v>918545</v>
      </c>
      <c r="C2072" s="1">
        <v>9995</v>
      </c>
      <c r="D2072" s="2">
        <v>42474</v>
      </c>
      <c r="E2072" s="1" t="s">
        <v>18</v>
      </c>
      <c r="F2072" t="str">
        <f>HYPERLINK("http://www.sec.gov/Archives/edgar/data/918545/0000918545-16-000010-index.html")</f>
        <v>http://www.sec.gov/Archives/edgar/data/918545/0000918545-16-000010-index.html</v>
      </c>
    </row>
    <row r="2073" spans="1:6" x14ac:dyDescent="0.2">
      <c r="A2073" t="s">
        <v>1884</v>
      </c>
      <c r="B2073" s="1">
        <v>919134</v>
      </c>
      <c r="C2073" s="1">
        <v>2082</v>
      </c>
      <c r="D2073" s="2">
        <v>42474</v>
      </c>
      <c r="E2073" s="1" t="s">
        <v>18</v>
      </c>
      <c r="F2073" t="str">
        <f>HYPERLINK("http://www.sec.gov/Archives/edgar/data/919134/0001493152-16-008925-index.html")</f>
        <v>http://www.sec.gov/Archives/edgar/data/919134/0001493152-16-008925-index.html</v>
      </c>
    </row>
    <row r="2074" spans="1:6" x14ac:dyDescent="0.2">
      <c r="A2074" t="s">
        <v>1885</v>
      </c>
      <c r="B2074" s="1">
        <v>920448</v>
      </c>
      <c r="C2074" s="1">
        <v>7372</v>
      </c>
      <c r="D2074" s="2">
        <v>42474</v>
      </c>
      <c r="E2074" s="1" t="s">
        <v>18</v>
      </c>
      <c r="F2074" t="str">
        <f>HYPERLINK("http://www.sec.gov/Archives/edgar/data/920448/0000920448-16-000127-index.html")</f>
        <v>http://www.sec.gov/Archives/edgar/data/920448/0000920448-16-000127-index.html</v>
      </c>
    </row>
    <row r="2075" spans="1:6" x14ac:dyDescent="0.2">
      <c r="A2075" t="s">
        <v>1886</v>
      </c>
      <c r="B2075" s="1">
        <v>925660</v>
      </c>
      <c r="C2075" s="1">
        <v>3829</v>
      </c>
      <c r="D2075" s="2">
        <v>42474</v>
      </c>
      <c r="E2075" s="1" t="s">
        <v>18</v>
      </c>
      <c r="F2075" t="str">
        <f>HYPERLINK("http://www.sec.gov/Archives/edgar/data/925660/0001548123-16-000534-index.html")</f>
        <v>http://www.sec.gov/Archives/edgar/data/925660/0001548123-16-000534-index.html</v>
      </c>
    </row>
    <row r="2076" spans="1:6" x14ac:dyDescent="0.2">
      <c r="A2076" t="s">
        <v>1887</v>
      </c>
      <c r="B2076" s="1">
        <v>948426</v>
      </c>
      <c r="C2076" s="1">
        <v>3510</v>
      </c>
      <c r="D2076" s="2">
        <v>42474</v>
      </c>
      <c r="E2076" s="1" t="s">
        <v>18</v>
      </c>
      <c r="F2076" t="str">
        <f>HYPERLINK("http://www.sec.gov/Archives/edgar/data/948426/0001213900-16-012522-index.html")</f>
        <v>http://www.sec.gov/Archives/edgar/data/948426/0001213900-16-012522-index.html</v>
      </c>
    </row>
    <row r="2077" spans="1:6" x14ac:dyDescent="0.2">
      <c r="A2077" t="s">
        <v>1888</v>
      </c>
      <c r="B2077" s="1">
        <v>949721</v>
      </c>
      <c r="C2077" s="1">
        <v>4950</v>
      </c>
      <c r="D2077" s="2">
        <v>42474</v>
      </c>
      <c r="E2077" s="1" t="s">
        <v>18</v>
      </c>
      <c r="F2077" t="str">
        <f>HYPERLINK("http://www.sec.gov/Archives/edgar/data/949721/0001354488-16-007003-index.html")</f>
        <v>http://www.sec.gov/Archives/edgar/data/949721/0001354488-16-007003-index.html</v>
      </c>
    </row>
    <row r="2078" spans="1:6" x14ac:dyDescent="0.2">
      <c r="A2078" t="s">
        <v>1889</v>
      </c>
      <c r="B2078" s="1">
        <v>1019671</v>
      </c>
      <c r="C2078" s="1">
        <v>3663</v>
      </c>
      <c r="D2078" s="2">
        <v>42473</v>
      </c>
      <c r="E2078" s="1" t="s">
        <v>18</v>
      </c>
      <c r="F2078" t="str">
        <f>HYPERLINK("http://www.sec.gov/Archives/edgar/data/1019671/0001193125-16-538823-index.html")</f>
        <v>http://www.sec.gov/Archives/edgar/data/1019671/0001193125-16-538823-index.html</v>
      </c>
    </row>
    <row r="2079" spans="1:6" x14ac:dyDescent="0.2">
      <c r="A2079" t="s">
        <v>1890</v>
      </c>
      <c r="B2079" s="1">
        <v>1106213</v>
      </c>
      <c r="C2079" s="1">
        <v>7900</v>
      </c>
      <c r="D2079" s="2">
        <v>42473</v>
      </c>
      <c r="E2079" s="1" t="s">
        <v>18</v>
      </c>
      <c r="F2079" t="str">
        <f>HYPERLINK("http://www.sec.gov/Archives/edgar/data/1106213/0001199835-16-000734-index.html")</f>
        <v>http://www.sec.gov/Archives/edgar/data/1106213/0001199835-16-000734-index.html</v>
      </c>
    </row>
    <row r="2080" spans="1:6" x14ac:dyDescent="0.2">
      <c r="A2080" t="s">
        <v>1891</v>
      </c>
      <c r="B2080" s="1">
        <v>1114208</v>
      </c>
      <c r="C2080" s="1">
        <v>7900</v>
      </c>
      <c r="D2080" s="2">
        <v>42473</v>
      </c>
      <c r="E2080" s="1" t="s">
        <v>18</v>
      </c>
      <c r="F2080" t="str">
        <f>HYPERLINK("http://www.sec.gov/Archives/edgar/data/1114208/0001477932-16-009682-index.html")</f>
        <v>http://www.sec.gov/Archives/edgar/data/1114208/0001477932-16-009682-index.html</v>
      </c>
    </row>
    <row r="2081" spans="1:6" x14ac:dyDescent="0.2">
      <c r="A2081" t="s">
        <v>1892</v>
      </c>
      <c r="B2081" s="1">
        <v>1164964</v>
      </c>
      <c r="C2081" s="1">
        <v>2834</v>
      </c>
      <c r="D2081" s="2">
        <v>42473</v>
      </c>
      <c r="E2081" s="1" t="s">
        <v>18</v>
      </c>
      <c r="F2081" t="str">
        <f>HYPERLINK("http://www.sec.gov/Archives/edgar/data/1164964/0001019687-16-005849-index.html")</f>
        <v>http://www.sec.gov/Archives/edgar/data/1164964/0001019687-16-005849-index.html</v>
      </c>
    </row>
    <row r="2082" spans="1:6" x14ac:dyDescent="0.2">
      <c r="A2082" t="s">
        <v>1893</v>
      </c>
      <c r="B2082" s="1">
        <v>1284450</v>
      </c>
      <c r="C2082" s="1">
        <v>3620</v>
      </c>
      <c r="D2082" s="2">
        <v>42473</v>
      </c>
      <c r="E2082" s="1" t="s">
        <v>18</v>
      </c>
      <c r="F2082" t="str">
        <f>HYPERLINK("http://www.sec.gov/Archives/edgar/data/1284450/0001213900-16-012438-index.html")</f>
        <v>http://www.sec.gov/Archives/edgar/data/1284450/0001213900-16-012438-index.html</v>
      </c>
    </row>
    <row r="2083" spans="1:6" x14ac:dyDescent="0.2">
      <c r="A2083" t="s">
        <v>1894</v>
      </c>
      <c r="B2083" s="1">
        <v>1318484</v>
      </c>
      <c r="C2083" s="1">
        <v>5600</v>
      </c>
      <c r="D2083" s="2">
        <v>42473</v>
      </c>
      <c r="E2083" s="1" t="s">
        <v>18</v>
      </c>
      <c r="F2083" t="str">
        <f>HYPERLINK("http://www.sec.gov/Archives/edgar/data/1318484/0001104659-16-111151-index.html")</f>
        <v>http://www.sec.gov/Archives/edgar/data/1318484/0001104659-16-111151-index.html</v>
      </c>
    </row>
    <row r="2084" spans="1:6" x14ac:dyDescent="0.2">
      <c r="A2084" t="s">
        <v>1895</v>
      </c>
      <c r="B2084" s="1">
        <v>1327688</v>
      </c>
      <c r="C2084" s="1">
        <v>7374</v>
      </c>
      <c r="D2084" s="2">
        <v>42473</v>
      </c>
      <c r="E2084" s="1" t="s">
        <v>18</v>
      </c>
      <c r="F2084" t="str">
        <f>HYPERLINK("http://www.sec.gov/Archives/edgar/data/1327688/0001564590-16-016120-index.html")</f>
        <v>http://www.sec.gov/Archives/edgar/data/1327688/0001564590-16-016120-index.html</v>
      </c>
    </row>
    <row r="2085" spans="1:6" x14ac:dyDescent="0.2">
      <c r="A2085" t="s">
        <v>1896</v>
      </c>
      <c r="B2085" s="1">
        <v>1328655</v>
      </c>
      <c r="C2085" s="1">
        <v>3714</v>
      </c>
      <c r="D2085" s="2">
        <v>42473</v>
      </c>
      <c r="E2085" s="1" t="s">
        <v>18</v>
      </c>
      <c r="F2085" t="str">
        <f>HYPERLINK("http://www.sec.gov/Archives/edgar/data/1328655/0001564590-16-016125-index.html")</f>
        <v>http://www.sec.gov/Archives/edgar/data/1328655/0001564590-16-016125-index.html</v>
      </c>
    </row>
    <row r="2086" spans="1:6" x14ac:dyDescent="0.2">
      <c r="A2086" t="s">
        <v>1897</v>
      </c>
      <c r="B2086" s="1">
        <v>1362703</v>
      </c>
      <c r="C2086" s="1">
        <v>7310</v>
      </c>
      <c r="D2086" s="2">
        <v>42473</v>
      </c>
      <c r="E2086" s="1" t="s">
        <v>18</v>
      </c>
      <c r="F2086" t="str">
        <f>HYPERLINK("http://www.sec.gov/Archives/edgar/data/1362703/0001493152-16-008851-index.html")</f>
        <v>http://www.sec.gov/Archives/edgar/data/1362703/0001493152-16-008851-index.html</v>
      </c>
    </row>
    <row r="2087" spans="1:6" x14ac:dyDescent="0.2">
      <c r="A2087" t="s">
        <v>1898</v>
      </c>
      <c r="B2087" s="1">
        <v>1365357</v>
      </c>
      <c r="C2087" s="1">
        <v>5900</v>
      </c>
      <c r="D2087" s="2">
        <v>42473</v>
      </c>
      <c r="E2087" s="1" t="s">
        <v>18</v>
      </c>
      <c r="F2087" t="str">
        <f>HYPERLINK("http://www.sec.gov/Archives/edgar/data/1365357/0001091818-16-000261-index.html")</f>
        <v>http://www.sec.gov/Archives/edgar/data/1365357/0001091818-16-000261-index.html</v>
      </c>
    </row>
    <row r="2088" spans="1:6" x14ac:dyDescent="0.2">
      <c r="A2088" t="s">
        <v>1518</v>
      </c>
      <c r="B2088" s="1">
        <v>1408057</v>
      </c>
      <c r="C2088" s="1">
        <v>7372</v>
      </c>
      <c r="D2088" s="2">
        <v>42473</v>
      </c>
      <c r="E2088" s="1" t="s">
        <v>42</v>
      </c>
      <c r="F2088" t="str">
        <f>HYPERLINK("http://www.sec.gov/Archives/edgar/data/1408057/0001354488-16-006977-index.html")</f>
        <v>http://www.sec.gov/Archives/edgar/data/1408057/0001354488-16-006977-index.html</v>
      </c>
    </row>
    <row r="2089" spans="1:6" x14ac:dyDescent="0.2">
      <c r="A2089" t="s">
        <v>1899</v>
      </c>
      <c r="B2089" s="1">
        <v>1409171</v>
      </c>
      <c r="C2089" s="1">
        <v>5990</v>
      </c>
      <c r="D2089" s="2">
        <v>42473</v>
      </c>
      <c r="E2089" s="1" t="s">
        <v>18</v>
      </c>
      <c r="F2089" t="str">
        <f>HYPERLINK("http://www.sec.gov/Archives/edgar/data/1409171/0001409171-16-000104-index.html")</f>
        <v>http://www.sec.gov/Archives/edgar/data/1409171/0001409171-16-000104-index.html</v>
      </c>
    </row>
    <row r="2090" spans="1:6" x14ac:dyDescent="0.2">
      <c r="A2090" t="s">
        <v>1900</v>
      </c>
      <c r="B2090" s="1">
        <v>1425627</v>
      </c>
      <c r="C2090" s="1">
        <v>2721</v>
      </c>
      <c r="D2090" s="2">
        <v>42473</v>
      </c>
      <c r="E2090" s="1" t="s">
        <v>18</v>
      </c>
      <c r="F2090" t="str">
        <f>HYPERLINK("http://www.sec.gov/Archives/edgar/data/1425627/0001477932-16-009693-index.html")</f>
        <v>http://www.sec.gov/Archives/edgar/data/1425627/0001477932-16-009693-index.html</v>
      </c>
    </row>
    <row r="2091" spans="1:6" x14ac:dyDescent="0.2">
      <c r="A2091" t="s">
        <v>1901</v>
      </c>
      <c r="B2091" s="1">
        <v>1434737</v>
      </c>
      <c r="C2091" s="1">
        <v>1311</v>
      </c>
      <c r="D2091" s="2">
        <v>42473</v>
      </c>
      <c r="E2091" s="1" t="s">
        <v>18</v>
      </c>
      <c r="F2091" t="str">
        <f>HYPERLINK("http://www.sec.gov/Archives/edgar/data/1434737/0001551163-16-000335-index.html")</f>
        <v>http://www.sec.gov/Archives/edgar/data/1434737/0001551163-16-000335-index.html</v>
      </c>
    </row>
    <row r="2092" spans="1:6" x14ac:dyDescent="0.2">
      <c r="A2092" t="s">
        <v>1902</v>
      </c>
      <c r="B2092" s="1">
        <v>1477168</v>
      </c>
      <c r="C2092" s="1">
        <v>1000</v>
      </c>
      <c r="D2092" s="2">
        <v>42473</v>
      </c>
      <c r="E2092" s="1" t="s">
        <v>18</v>
      </c>
      <c r="F2092" t="str">
        <f>HYPERLINK("http://www.sec.gov/Archives/edgar/data/1477168/0001493152-16-008858-index.html")</f>
        <v>http://www.sec.gov/Archives/edgar/data/1477168/0001493152-16-008858-index.html</v>
      </c>
    </row>
    <row r="2093" spans="1:6" x14ac:dyDescent="0.2">
      <c r="A2093" t="s">
        <v>1903</v>
      </c>
      <c r="B2093" s="1">
        <v>1510891</v>
      </c>
      <c r="C2093" s="1">
        <v>7371</v>
      </c>
      <c r="D2093" s="2">
        <v>42473</v>
      </c>
      <c r="E2093" s="1" t="s">
        <v>18</v>
      </c>
      <c r="F2093" t="str">
        <f>HYPERLINK("http://www.sec.gov/Archives/edgar/data/1510891/0001079974-16-001120-index.html")</f>
        <v>http://www.sec.gov/Archives/edgar/data/1510891/0001079974-16-001120-index.html</v>
      </c>
    </row>
    <row r="2094" spans="1:6" x14ac:dyDescent="0.2">
      <c r="A2094" t="s">
        <v>1904</v>
      </c>
      <c r="B2094" s="1">
        <v>1512890</v>
      </c>
      <c r="C2094" s="1">
        <v>6794</v>
      </c>
      <c r="D2094" s="2">
        <v>42473</v>
      </c>
      <c r="E2094" s="1" t="s">
        <v>18</v>
      </c>
      <c r="F2094" t="str">
        <f>HYPERLINK("http://www.sec.gov/Archives/edgar/data/1512890/0001213900-16-012470-index.html")</f>
        <v>http://www.sec.gov/Archives/edgar/data/1512890/0001213900-16-012470-index.html</v>
      </c>
    </row>
    <row r="2095" spans="1:6" x14ac:dyDescent="0.2">
      <c r="A2095" t="s">
        <v>1905</v>
      </c>
      <c r="B2095" s="1">
        <v>1527355</v>
      </c>
      <c r="C2095" s="1">
        <v>2080</v>
      </c>
      <c r="D2095" s="2">
        <v>42473</v>
      </c>
      <c r="E2095" s="1" t="s">
        <v>18</v>
      </c>
      <c r="F2095" t="str">
        <f>HYPERLINK("http://www.sec.gov/Archives/edgar/data/1527355/0001127855-16-000587-index.html")</f>
        <v>http://www.sec.gov/Archives/edgar/data/1527355/0001127855-16-000587-index.html</v>
      </c>
    </row>
    <row r="2096" spans="1:6" x14ac:dyDescent="0.2">
      <c r="A2096" t="s">
        <v>1906</v>
      </c>
      <c r="B2096" s="1">
        <v>1534708</v>
      </c>
      <c r="C2096" s="1">
        <v>2080</v>
      </c>
      <c r="D2096" s="2">
        <v>42473</v>
      </c>
      <c r="E2096" s="1" t="s">
        <v>18</v>
      </c>
      <c r="F2096" t="str">
        <f>HYPERLINK("http://www.sec.gov/Archives/edgar/data/1534708/0001615774-16-004925-index.html")</f>
        <v>http://www.sec.gov/Archives/edgar/data/1534708/0001615774-16-004925-index.html</v>
      </c>
    </row>
    <row r="2097" spans="1:6" x14ac:dyDescent="0.2">
      <c r="A2097" t="s">
        <v>1907</v>
      </c>
      <c r="B2097" s="1">
        <v>1537663</v>
      </c>
      <c r="C2097" s="1">
        <v>2834</v>
      </c>
      <c r="D2097" s="2">
        <v>42473</v>
      </c>
      <c r="E2097" s="1" t="s">
        <v>18</v>
      </c>
      <c r="F2097" t="str">
        <f>HYPERLINK("http://www.sec.gov/Archives/edgar/data/1537663/0001615774-16-004922-index.html")</f>
        <v>http://www.sec.gov/Archives/edgar/data/1537663/0001615774-16-004922-index.html</v>
      </c>
    </row>
    <row r="2098" spans="1:6" x14ac:dyDescent="0.2">
      <c r="A2098" t="s">
        <v>1908</v>
      </c>
      <c r="B2098" s="1">
        <v>1543637</v>
      </c>
      <c r="C2098" s="1">
        <v>3841</v>
      </c>
      <c r="D2098" s="2">
        <v>42473</v>
      </c>
      <c r="E2098" s="1" t="s">
        <v>18</v>
      </c>
      <c r="F2098" t="str">
        <f>HYPERLINK("http://www.sec.gov/Archives/edgar/data/1543637/0001548123-16-000531-index.html")</f>
        <v>http://www.sec.gov/Archives/edgar/data/1543637/0001548123-16-000531-index.html</v>
      </c>
    </row>
    <row r="2099" spans="1:6" x14ac:dyDescent="0.2">
      <c r="A2099" t="s">
        <v>1909</v>
      </c>
      <c r="B2099" s="1">
        <v>1547996</v>
      </c>
      <c r="C2099" s="1">
        <v>3585</v>
      </c>
      <c r="D2099" s="2">
        <v>42473</v>
      </c>
      <c r="E2099" s="1" t="s">
        <v>18</v>
      </c>
      <c r="F2099" t="str">
        <f>HYPERLINK("http://www.sec.gov/Archives/edgar/data/1547996/0001193125-16-540162-index.html")</f>
        <v>http://www.sec.gov/Archives/edgar/data/1547996/0001193125-16-540162-index.html</v>
      </c>
    </row>
    <row r="2100" spans="1:6" x14ac:dyDescent="0.2">
      <c r="A2100" t="s">
        <v>414</v>
      </c>
      <c r="B2100" s="1">
        <v>1549145</v>
      </c>
      <c r="C2100" s="1">
        <v>2860</v>
      </c>
      <c r="D2100" s="2">
        <v>42473</v>
      </c>
      <c r="E2100" s="1" t="s">
        <v>18</v>
      </c>
      <c r="F2100" t="str">
        <f>HYPERLINK("http://www.sec.gov/Archives/edgar/data/1549145/0001206774-16-005418-index.html")</f>
        <v>http://www.sec.gov/Archives/edgar/data/1549145/0001206774-16-005418-index.html</v>
      </c>
    </row>
    <row r="2101" spans="1:6" x14ac:dyDescent="0.2">
      <c r="A2101" t="s">
        <v>1910</v>
      </c>
      <c r="B2101" s="1">
        <v>1561622</v>
      </c>
      <c r="C2101" s="1">
        <v>7200</v>
      </c>
      <c r="D2101" s="2">
        <v>42473</v>
      </c>
      <c r="E2101" s="1" t="s">
        <v>18</v>
      </c>
      <c r="F2101" t="str">
        <f>HYPERLINK("http://www.sec.gov/Archives/edgar/data/1561622/0001520138-16-000834-index.html")</f>
        <v>http://www.sec.gov/Archives/edgar/data/1561622/0001520138-16-000834-index.html</v>
      </c>
    </row>
    <row r="2102" spans="1:6" x14ac:dyDescent="0.2">
      <c r="A2102" t="s">
        <v>1911</v>
      </c>
      <c r="B2102" s="1">
        <v>1574910</v>
      </c>
      <c r="C2102" s="1">
        <v>2024</v>
      </c>
      <c r="D2102" s="2">
        <v>42473</v>
      </c>
      <c r="E2102" s="1" t="s">
        <v>18</v>
      </c>
      <c r="F2102" t="str">
        <f>HYPERLINK("http://www.sec.gov/Archives/edgar/data/1574910/0001477932-16-009691-index.html")</f>
        <v>http://www.sec.gov/Archives/edgar/data/1574910/0001477932-16-009691-index.html</v>
      </c>
    </row>
    <row r="2103" spans="1:6" x14ac:dyDescent="0.2">
      <c r="A2103" t="s">
        <v>1912</v>
      </c>
      <c r="B2103" s="1">
        <v>1589919</v>
      </c>
      <c r="C2103" s="1">
        <v>1520</v>
      </c>
      <c r="D2103" s="2">
        <v>42473</v>
      </c>
      <c r="E2103" s="1" t="s">
        <v>18</v>
      </c>
      <c r="F2103" t="str">
        <f>HYPERLINK("http://www.sec.gov/Archives/edgar/data/1589919/0001127855-16-000582-index.html")</f>
        <v>http://www.sec.gov/Archives/edgar/data/1589919/0001127855-16-000582-index.html</v>
      </c>
    </row>
    <row r="2104" spans="1:6" x14ac:dyDescent="0.2">
      <c r="A2104" t="s">
        <v>1913</v>
      </c>
      <c r="B2104" s="1">
        <v>1600347</v>
      </c>
      <c r="C2104" s="1">
        <v>8742</v>
      </c>
      <c r="D2104" s="2">
        <v>42473</v>
      </c>
      <c r="E2104" s="1" t="s">
        <v>18</v>
      </c>
      <c r="F2104" t="str">
        <f>HYPERLINK("http://www.sec.gov/Archives/edgar/data/1600347/0001354488-16-006979-index.html")</f>
        <v>http://www.sec.gov/Archives/edgar/data/1600347/0001354488-16-006979-index.html</v>
      </c>
    </row>
    <row r="2105" spans="1:6" x14ac:dyDescent="0.2">
      <c r="A2105" t="s">
        <v>1914</v>
      </c>
      <c r="B2105" s="1">
        <v>1623077</v>
      </c>
      <c r="C2105" s="1">
        <v>7997</v>
      </c>
      <c r="D2105" s="2">
        <v>42473</v>
      </c>
      <c r="E2105" s="1" t="s">
        <v>18</v>
      </c>
      <c r="F2105" t="str">
        <f>HYPERLINK("http://www.sec.gov/Archives/edgar/data/1623077/0001078782-16-002618-index.html")</f>
        <v>http://www.sec.gov/Archives/edgar/data/1623077/0001078782-16-002618-index.html</v>
      </c>
    </row>
    <row r="2106" spans="1:6" x14ac:dyDescent="0.2">
      <c r="A2106" t="s">
        <v>1915</v>
      </c>
      <c r="B2106" s="1">
        <v>1627606</v>
      </c>
      <c r="C2106" s="1">
        <v>5400</v>
      </c>
      <c r="D2106" s="2">
        <v>42473</v>
      </c>
      <c r="E2106" s="1" t="s">
        <v>18</v>
      </c>
      <c r="F2106" t="str">
        <f>HYPERLINK("http://www.sec.gov/Archives/edgar/data/1627606/0001558370-16-004619-index.html")</f>
        <v>http://www.sec.gov/Archives/edgar/data/1627606/0001558370-16-004619-index.html</v>
      </c>
    </row>
    <row r="2107" spans="1:6" x14ac:dyDescent="0.2">
      <c r="A2107" t="s">
        <v>1916</v>
      </c>
      <c r="B2107" s="1">
        <v>1630113</v>
      </c>
      <c r="C2107" s="1">
        <v>3841</v>
      </c>
      <c r="D2107" s="2">
        <v>42473</v>
      </c>
      <c r="E2107" s="1" t="s">
        <v>21</v>
      </c>
      <c r="F2107" t="str">
        <f>HYPERLINK("http://www.sec.gov/Archives/edgar/data/1630113/0001511164-16-000763-index.html")</f>
        <v>http://www.sec.gov/Archives/edgar/data/1630113/0001511164-16-000763-index.html</v>
      </c>
    </row>
    <row r="2108" spans="1:6" x14ac:dyDescent="0.2">
      <c r="A2108" t="s">
        <v>1917</v>
      </c>
      <c r="B2108" s="1">
        <v>1634423</v>
      </c>
      <c r="C2108" s="1">
        <v>6770</v>
      </c>
      <c r="D2108" s="2">
        <v>42473</v>
      </c>
      <c r="E2108" s="1" t="s">
        <v>18</v>
      </c>
      <c r="F2108" t="str">
        <f>HYPERLINK("http://www.sec.gov/Archives/edgar/data/1634423/0001021432-16-001140-index.html")</f>
        <v>http://www.sec.gov/Archives/edgar/data/1634423/0001021432-16-001140-index.html</v>
      </c>
    </row>
    <row r="2109" spans="1:6" x14ac:dyDescent="0.2">
      <c r="A2109" t="s">
        <v>1918</v>
      </c>
      <c r="B2109" s="1">
        <v>1644742</v>
      </c>
      <c r="C2109" s="1">
        <v>6770</v>
      </c>
      <c r="D2109" s="2">
        <v>42473</v>
      </c>
      <c r="E2109" s="1" t="s">
        <v>18</v>
      </c>
      <c r="F2109" t="str">
        <f>HYPERLINK("http://www.sec.gov/Archives/edgar/data/1644742/0001021432-16-001138-index.html")</f>
        <v>http://www.sec.gov/Archives/edgar/data/1644742/0001021432-16-001138-index.html</v>
      </c>
    </row>
    <row r="2110" spans="1:6" x14ac:dyDescent="0.2">
      <c r="A2110" t="s">
        <v>1919</v>
      </c>
      <c r="B2110" s="1">
        <v>1644761</v>
      </c>
      <c r="C2110" s="1">
        <v>6770</v>
      </c>
      <c r="D2110" s="2">
        <v>42473</v>
      </c>
      <c r="E2110" s="1" t="s">
        <v>18</v>
      </c>
      <c r="F2110" t="str">
        <f>HYPERLINK("http://www.sec.gov/Archives/edgar/data/1644761/0001021432-16-001134-index.html")</f>
        <v>http://www.sec.gov/Archives/edgar/data/1644761/0001021432-16-001134-index.html</v>
      </c>
    </row>
    <row r="2111" spans="1:6" x14ac:dyDescent="0.2">
      <c r="A2111" t="s">
        <v>1920</v>
      </c>
      <c r="B2111" s="1">
        <v>1644804</v>
      </c>
      <c r="C2111" s="1">
        <v>6770</v>
      </c>
      <c r="D2111" s="2">
        <v>42473</v>
      </c>
      <c r="E2111" s="1" t="s">
        <v>18</v>
      </c>
      <c r="F2111" t="str">
        <f>HYPERLINK("http://www.sec.gov/Archives/edgar/data/1644804/0001021432-16-001136-index.html")</f>
        <v>http://www.sec.gov/Archives/edgar/data/1644804/0001021432-16-001136-index.html</v>
      </c>
    </row>
    <row r="2112" spans="1:6" x14ac:dyDescent="0.2">
      <c r="A2112" t="s">
        <v>1921</v>
      </c>
      <c r="B2112" s="1">
        <v>1644808</v>
      </c>
      <c r="C2112" s="1">
        <v>6770</v>
      </c>
      <c r="D2112" s="2">
        <v>42473</v>
      </c>
      <c r="E2112" s="1" t="s">
        <v>18</v>
      </c>
      <c r="F2112" t="str">
        <f>HYPERLINK("http://www.sec.gov/Archives/edgar/data/1644808/0001021432-16-001137-index.html")</f>
        <v>http://www.sec.gov/Archives/edgar/data/1644808/0001021432-16-001137-index.html</v>
      </c>
    </row>
    <row r="2113" spans="1:6" x14ac:dyDescent="0.2">
      <c r="A2113" t="s">
        <v>1922</v>
      </c>
      <c r="B2113" s="1">
        <v>1644819</v>
      </c>
      <c r="C2113" s="1">
        <v>6770</v>
      </c>
      <c r="D2113" s="2">
        <v>42473</v>
      </c>
      <c r="E2113" s="1" t="s">
        <v>18</v>
      </c>
      <c r="F2113" t="str">
        <f>HYPERLINK("http://www.sec.gov/Archives/edgar/data/1644819/0001021432-16-001135-index.html")</f>
        <v>http://www.sec.gov/Archives/edgar/data/1644819/0001021432-16-001135-index.html</v>
      </c>
    </row>
    <row r="2114" spans="1:6" x14ac:dyDescent="0.2">
      <c r="A2114" t="s">
        <v>1923</v>
      </c>
      <c r="B2114" s="1">
        <v>1644823</v>
      </c>
      <c r="C2114" s="1">
        <v>6770</v>
      </c>
      <c r="D2114" s="2">
        <v>42473</v>
      </c>
      <c r="E2114" s="1" t="s">
        <v>18</v>
      </c>
      <c r="F2114" t="str">
        <f>HYPERLINK("http://www.sec.gov/Archives/edgar/data/1644823/0001021432-16-001133-index.html")</f>
        <v>http://www.sec.gov/Archives/edgar/data/1644823/0001021432-16-001133-index.html</v>
      </c>
    </row>
    <row r="2115" spans="1:6" x14ac:dyDescent="0.2">
      <c r="A2115" t="s">
        <v>1924</v>
      </c>
      <c r="B2115" s="1">
        <v>1644825</v>
      </c>
      <c r="C2115" s="1">
        <v>6770</v>
      </c>
      <c r="D2115" s="2">
        <v>42473</v>
      </c>
      <c r="E2115" s="1" t="s">
        <v>18</v>
      </c>
      <c r="F2115" t="str">
        <f>HYPERLINK("http://www.sec.gov/Archives/edgar/data/1644825/0001021432-16-001139-index.html")</f>
        <v>http://www.sec.gov/Archives/edgar/data/1644825/0001021432-16-001139-index.html</v>
      </c>
    </row>
    <row r="2116" spans="1:6" x14ac:dyDescent="0.2">
      <c r="A2116" t="s">
        <v>1925</v>
      </c>
      <c r="B2116" s="1">
        <v>1644867</v>
      </c>
      <c r="C2116" s="1">
        <v>6770</v>
      </c>
      <c r="D2116" s="2">
        <v>42473</v>
      </c>
      <c r="E2116" s="1" t="s">
        <v>18</v>
      </c>
      <c r="F2116" t="str">
        <f>HYPERLINK("http://www.sec.gov/Archives/edgar/data/1644867/0001021432-16-001132-index.html")</f>
        <v>http://www.sec.gov/Archives/edgar/data/1644867/0001021432-16-001132-index.html</v>
      </c>
    </row>
    <row r="2117" spans="1:6" x14ac:dyDescent="0.2">
      <c r="A2117" t="s">
        <v>1926</v>
      </c>
      <c r="B2117" s="1">
        <v>1644869</v>
      </c>
      <c r="C2117" s="1">
        <v>6770</v>
      </c>
      <c r="D2117" s="2">
        <v>42473</v>
      </c>
      <c r="E2117" s="1" t="s">
        <v>18</v>
      </c>
      <c r="F2117" t="str">
        <f>HYPERLINK("http://www.sec.gov/Archives/edgar/data/1644869/0001021432-16-001131-index.html")</f>
        <v>http://www.sec.gov/Archives/edgar/data/1644869/0001021432-16-001131-index.html</v>
      </c>
    </row>
    <row r="2118" spans="1:6" x14ac:dyDescent="0.2">
      <c r="A2118" t="s">
        <v>1927</v>
      </c>
      <c r="B2118" s="1">
        <v>1961</v>
      </c>
      <c r="C2118" s="1">
        <v>7372</v>
      </c>
      <c r="D2118" s="2">
        <v>42473</v>
      </c>
      <c r="E2118" s="1" t="s">
        <v>18</v>
      </c>
      <c r="F2118" t="str">
        <f>HYPERLINK("http://www.sec.gov/Archives/edgar/data/1961/0001264931-16-000339-index.html")</f>
        <v>http://www.sec.gov/Archives/edgar/data/1961/0001264931-16-000339-index.html</v>
      </c>
    </row>
    <row r="2119" spans="1:6" x14ac:dyDescent="0.2">
      <c r="A2119" t="s">
        <v>1928</v>
      </c>
      <c r="B2119" s="1">
        <v>748268</v>
      </c>
      <c r="C2119" s="1">
        <v>1311</v>
      </c>
      <c r="D2119" s="2">
        <v>42473</v>
      </c>
      <c r="E2119" s="1" t="s">
        <v>18</v>
      </c>
      <c r="F2119" t="str">
        <f>HYPERLINK("http://www.sec.gov/Archives/edgar/data/748268/0001445866-16-001922-index.html")</f>
        <v>http://www.sec.gov/Archives/edgar/data/748268/0001445866-16-001922-index.html</v>
      </c>
    </row>
    <row r="2120" spans="1:6" x14ac:dyDescent="0.2">
      <c r="A2120" t="s">
        <v>1929</v>
      </c>
      <c r="B2120" s="1">
        <v>820608</v>
      </c>
      <c r="C2120" s="1">
        <v>3841</v>
      </c>
      <c r="D2120" s="2">
        <v>42473</v>
      </c>
      <c r="E2120" s="1" t="s">
        <v>18</v>
      </c>
      <c r="F2120" t="str">
        <f>HYPERLINK("http://www.sec.gov/Archives/edgar/data/820608/0001415889-16-005518-index.html")</f>
        <v>http://www.sec.gov/Archives/edgar/data/820608/0001415889-16-005518-index.html</v>
      </c>
    </row>
    <row r="2121" spans="1:6" x14ac:dyDescent="0.2">
      <c r="A2121" t="s">
        <v>1930</v>
      </c>
      <c r="B2121" s="1">
        <v>860131</v>
      </c>
      <c r="C2121" s="1">
        <v>2860</v>
      </c>
      <c r="D2121" s="2">
        <v>42473</v>
      </c>
      <c r="E2121" s="1" t="s">
        <v>18</v>
      </c>
      <c r="F2121" t="str">
        <f>HYPERLINK("http://www.sec.gov/Archives/edgar/data/860131/0001213900-16-012454-index.html")</f>
        <v>http://www.sec.gov/Archives/edgar/data/860131/0001213900-16-012454-index.html</v>
      </c>
    </row>
    <row r="2122" spans="1:6" x14ac:dyDescent="0.2">
      <c r="A2122" t="s">
        <v>1931</v>
      </c>
      <c r="B2122" s="1">
        <v>878079</v>
      </c>
      <c r="C2122" s="1">
        <v>5311</v>
      </c>
      <c r="D2122" s="2">
        <v>42473</v>
      </c>
      <c r="E2122" s="1" t="s">
        <v>18</v>
      </c>
      <c r="F2122" t="str">
        <f>HYPERLINK("http://www.sec.gov/Archives/edgar/data/878079/0001047469-16-012172-index.html")</f>
        <v>http://www.sec.gov/Archives/edgar/data/878079/0001047469-16-012172-index.html</v>
      </c>
    </row>
    <row r="2123" spans="1:6" x14ac:dyDescent="0.2">
      <c r="A2123" t="s">
        <v>1932</v>
      </c>
      <c r="B2123" s="1">
        <v>888504</v>
      </c>
      <c r="C2123" s="1">
        <v>1700</v>
      </c>
      <c r="D2123" s="2">
        <v>42473</v>
      </c>
      <c r="E2123" s="1" t="s">
        <v>18</v>
      </c>
      <c r="F2123" t="str">
        <f>HYPERLINK("http://www.sec.gov/Archives/edgar/data/888504/0001564590-16-016121-index.html")</f>
        <v>http://www.sec.gov/Archives/edgar/data/888504/0001564590-16-016121-index.html</v>
      </c>
    </row>
    <row r="2124" spans="1:6" x14ac:dyDescent="0.2">
      <c r="A2124" t="s">
        <v>1933</v>
      </c>
      <c r="B2124" s="1">
        <v>894560</v>
      </c>
      <c r="C2124" s="1">
        <v>6770</v>
      </c>
      <c r="D2124" s="2">
        <v>42473</v>
      </c>
      <c r="E2124" s="1" t="s">
        <v>18</v>
      </c>
      <c r="F2124" t="str">
        <f>HYPERLINK("http://www.sec.gov/Archives/edgar/data/894560/0001551163-16-000333-index.html")</f>
        <v>http://www.sec.gov/Archives/edgar/data/894560/0001551163-16-000333-index.html</v>
      </c>
    </row>
    <row r="2125" spans="1:6" x14ac:dyDescent="0.2">
      <c r="A2125" t="s">
        <v>1934</v>
      </c>
      <c r="B2125" s="1">
        <v>927720</v>
      </c>
      <c r="C2125" s="1">
        <v>4832</v>
      </c>
      <c r="D2125" s="2">
        <v>42473</v>
      </c>
      <c r="E2125" s="1" t="s">
        <v>18</v>
      </c>
      <c r="F2125" t="str">
        <f>HYPERLINK("http://www.sec.gov/Archives/edgar/data/927720/0001564590-16-016156-index.html")</f>
        <v>http://www.sec.gov/Archives/edgar/data/927720/0001564590-16-016156-index.html</v>
      </c>
    </row>
    <row r="2126" spans="1:6" x14ac:dyDescent="0.2">
      <c r="A2126" t="s">
        <v>1935</v>
      </c>
      <c r="B2126" s="1">
        <v>945617</v>
      </c>
      <c r="C2126" s="1">
        <v>4833</v>
      </c>
      <c r="D2126" s="2">
        <v>42473</v>
      </c>
      <c r="E2126" s="1" t="s">
        <v>18</v>
      </c>
      <c r="F2126" t="str">
        <f>HYPERLINK("http://www.sec.gov/Archives/edgar/data/945617/0000721748-16-001171-index.html")</f>
        <v>http://www.sec.gov/Archives/edgar/data/945617/0000721748-16-001171-index.html</v>
      </c>
    </row>
    <row r="2127" spans="1:6" x14ac:dyDescent="0.2">
      <c r="A2127" t="s">
        <v>1936</v>
      </c>
      <c r="B2127" s="1">
        <v>1028153</v>
      </c>
      <c r="C2127" s="1">
        <v>3690</v>
      </c>
      <c r="D2127" s="2">
        <v>42472</v>
      </c>
      <c r="E2127" s="1" t="s">
        <v>18</v>
      </c>
      <c r="F2127" t="str">
        <f>HYPERLINK("http://www.sec.gov/Archives/edgar/data/1028153/0001615774-16-004910-index.html")</f>
        <v>http://www.sec.gov/Archives/edgar/data/1028153/0001615774-16-004910-index.html</v>
      </c>
    </row>
    <row r="2128" spans="1:6" x14ac:dyDescent="0.2">
      <c r="A2128" t="s">
        <v>1937</v>
      </c>
      <c r="B2128" s="1">
        <v>1103640</v>
      </c>
      <c r="C2128" s="1">
        <v>3670</v>
      </c>
      <c r="D2128" s="2">
        <v>42472</v>
      </c>
      <c r="E2128" s="1" t="s">
        <v>18</v>
      </c>
      <c r="F2128" t="str">
        <f>HYPERLINK("http://www.sec.gov/Archives/edgar/data/1103640/0001062993-16-008893-index.html")</f>
        <v>http://www.sec.gov/Archives/edgar/data/1103640/0001062993-16-008893-index.html</v>
      </c>
    </row>
    <row r="2129" spans="1:6" x14ac:dyDescent="0.2">
      <c r="A2129" t="s">
        <v>1938</v>
      </c>
      <c r="B2129" s="1">
        <v>1111741</v>
      </c>
      <c r="C2129" s="1">
        <v>1000</v>
      </c>
      <c r="D2129" s="2">
        <v>42472</v>
      </c>
      <c r="E2129" s="1" t="s">
        <v>18</v>
      </c>
      <c r="F2129" t="str">
        <f>HYPERLINK("http://www.sec.gov/Archives/edgar/data/1111741/0001121781-16-000438-index.html")</f>
        <v>http://www.sec.gov/Archives/edgar/data/1111741/0001121781-16-000438-index.html</v>
      </c>
    </row>
    <row r="2130" spans="1:6" x14ac:dyDescent="0.2">
      <c r="A2130" t="s">
        <v>1939</v>
      </c>
      <c r="B2130" s="1">
        <v>1347022</v>
      </c>
      <c r="C2130" s="1">
        <v>3826</v>
      </c>
      <c r="D2130" s="2">
        <v>42472</v>
      </c>
      <c r="E2130" s="1" t="s">
        <v>18</v>
      </c>
      <c r="F2130" t="str">
        <f>HYPERLINK("http://www.sec.gov/Archives/edgar/data/1347022/0001493152-16-008808-index.html")</f>
        <v>http://www.sec.gov/Archives/edgar/data/1347022/0001493152-16-008808-index.html</v>
      </c>
    </row>
    <row r="2131" spans="1:6" x14ac:dyDescent="0.2">
      <c r="A2131" t="s">
        <v>1940</v>
      </c>
      <c r="B2131" s="1">
        <v>1381435</v>
      </c>
      <c r="C2131" s="1">
        <v>5810</v>
      </c>
      <c r="D2131" s="2">
        <v>42472</v>
      </c>
      <c r="E2131" s="1" t="s">
        <v>18</v>
      </c>
      <c r="F2131" t="str">
        <f>HYPERLINK("http://www.sec.gov/Archives/edgar/data/1381435/0001493152-16-008839-index.html")</f>
        <v>http://www.sec.gov/Archives/edgar/data/1381435/0001493152-16-008839-index.html</v>
      </c>
    </row>
    <row r="2132" spans="1:6" x14ac:dyDescent="0.2">
      <c r="A2132" t="s">
        <v>1941</v>
      </c>
      <c r="B2132" s="1">
        <v>1409014</v>
      </c>
      <c r="C2132" s="1">
        <v>4100</v>
      </c>
      <c r="D2132" s="2">
        <v>42472</v>
      </c>
      <c r="E2132" s="1" t="s">
        <v>18</v>
      </c>
      <c r="F2132" t="str">
        <f>HYPERLINK("http://www.sec.gov/Archives/edgar/data/1409014/0001493152-16-008834-index.html")</f>
        <v>http://www.sec.gov/Archives/edgar/data/1409014/0001493152-16-008834-index.html</v>
      </c>
    </row>
    <row r="2133" spans="1:6" x14ac:dyDescent="0.2">
      <c r="A2133" t="s">
        <v>1942</v>
      </c>
      <c r="B2133" s="1">
        <v>1423325</v>
      </c>
      <c r="C2133" s="1">
        <v>2860</v>
      </c>
      <c r="D2133" s="2">
        <v>42472</v>
      </c>
      <c r="E2133" s="1" t="s">
        <v>18</v>
      </c>
      <c r="F2133" t="str">
        <f>HYPERLINK("http://www.sec.gov/Archives/edgar/data/1423325/0001445866-16-001918-index.html")</f>
        <v>http://www.sec.gov/Archives/edgar/data/1423325/0001445866-16-001918-index.html</v>
      </c>
    </row>
    <row r="2134" spans="1:6" x14ac:dyDescent="0.2">
      <c r="A2134" t="s">
        <v>1943</v>
      </c>
      <c r="B2134" s="1">
        <v>1482541</v>
      </c>
      <c r="C2134" s="1">
        <v>7389</v>
      </c>
      <c r="D2134" s="2">
        <v>42472</v>
      </c>
      <c r="E2134" s="1" t="s">
        <v>18</v>
      </c>
      <c r="F2134" t="str">
        <f>HYPERLINK("http://www.sec.gov/Archives/edgar/data/1482541/0001493152-16-008843-index.html")</f>
        <v>http://www.sec.gov/Archives/edgar/data/1482541/0001493152-16-008843-index.html</v>
      </c>
    </row>
    <row r="2135" spans="1:6" x14ac:dyDescent="0.2">
      <c r="A2135" t="s">
        <v>1944</v>
      </c>
      <c r="B2135" s="1">
        <v>1539551</v>
      </c>
      <c r="C2135" s="1">
        <v>1540</v>
      </c>
      <c r="D2135" s="2">
        <v>42472</v>
      </c>
      <c r="E2135" s="1" t="s">
        <v>18</v>
      </c>
      <c r="F2135" t="str">
        <f>HYPERLINK("http://www.sec.gov/Archives/edgar/data/1539551/0001213900-16-012432-index.html")</f>
        <v>http://www.sec.gov/Archives/edgar/data/1539551/0001213900-16-012432-index.html</v>
      </c>
    </row>
    <row r="2136" spans="1:6" x14ac:dyDescent="0.2">
      <c r="A2136" t="s">
        <v>1945</v>
      </c>
      <c r="B2136" s="1">
        <v>1595140</v>
      </c>
      <c r="C2136" s="1">
        <v>2844</v>
      </c>
      <c r="D2136" s="2">
        <v>42472</v>
      </c>
      <c r="E2136" s="1" t="s">
        <v>18</v>
      </c>
      <c r="F2136" t="str">
        <f>HYPERLINK("http://www.sec.gov/Archives/edgar/data/1595140/0001477932-16-009652-index.html")</f>
        <v>http://www.sec.gov/Archives/edgar/data/1595140/0001477932-16-009652-index.html</v>
      </c>
    </row>
    <row r="2137" spans="1:6" x14ac:dyDescent="0.2">
      <c r="A2137" t="s">
        <v>1946</v>
      </c>
      <c r="B2137" s="1">
        <v>1615780</v>
      </c>
      <c r="C2137" s="1">
        <v>7310</v>
      </c>
      <c r="D2137" s="2">
        <v>42472</v>
      </c>
      <c r="E2137" s="1" t="s">
        <v>18</v>
      </c>
      <c r="F2137" t="str">
        <f>HYPERLINK("http://www.sec.gov/Archives/edgar/data/1615780/0001019687-16-005819-index.html")</f>
        <v>http://www.sec.gov/Archives/edgar/data/1615780/0001019687-16-005819-index.html</v>
      </c>
    </row>
    <row r="2138" spans="1:6" x14ac:dyDescent="0.2">
      <c r="A2138" t="s">
        <v>1947</v>
      </c>
      <c r="B2138" s="1">
        <v>1623024</v>
      </c>
      <c r="C2138" s="1">
        <v>6770</v>
      </c>
      <c r="D2138" s="2">
        <v>42472</v>
      </c>
      <c r="E2138" s="1" t="s">
        <v>18</v>
      </c>
      <c r="F2138" t="str">
        <f>HYPERLINK("http://www.sec.gov/Archives/edgar/data/1623024/0001144204-16-093841-index.html")</f>
        <v>http://www.sec.gov/Archives/edgar/data/1623024/0001144204-16-093841-index.html</v>
      </c>
    </row>
    <row r="2139" spans="1:6" x14ac:dyDescent="0.2">
      <c r="A2139" t="s">
        <v>1948</v>
      </c>
      <c r="B2139" s="1">
        <v>1626556</v>
      </c>
      <c r="C2139" s="1">
        <v>8200</v>
      </c>
      <c r="D2139" s="2">
        <v>42472</v>
      </c>
      <c r="E2139" s="1" t="s">
        <v>18</v>
      </c>
      <c r="F2139" t="str">
        <f>HYPERLINK("http://www.sec.gov/Archives/edgar/data/1626556/0001144204-16-093870-index.html")</f>
        <v>http://www.sec.gov/Archives/edgar/data/1626556/0001144204-16-093870-index.html</v>
      </c>
    </row>
    <row r="2140" spans="1:6" x14ac:dyDescent="0.2">
      <c r="A2140" t="s">
        <v>1949</v>
      </c>
      <c r="B2140" s="1">
        <v>1651716</v>
      </c>
      <c r="C2140" s="1">
        <v>1700</v>
      </c>
      <c r="D2140" s="2">
        <v>42472</v>
      </c>
      <c r="E2140" s="1" t="s">
        <v>18</v>
      </c>
      <c r="F2140" t="str">
        <f>HYPERLINK("http://www.sec.gov/Archives/edgar/data/1651716/0001549212-16-000047-index.html")</f>
        <v>http://www.sec.gov/Archives/edgar/data/1651716/0001549212-16-000047-index.html</v>
      </c>
    </row>
    <row r="2141" spans="1:6" x14ac:dyDescent="0.2">
      <c r="A2141" t="s">
        <v>1950</v>
      </c>
      <c r="B2141" s="1">
        <v>356870</v>
      </c>
      <c r="C2141" s="1">
        <v>1311</v>
      </c>
      <c r="D2141" s="2">
        <v>42472</v>
      </c>
      <c r="E2141" s="1" t="s">
        <v>18</v>
      </c>
      <c r="F2141" t="str">
        <f>HYPERLINK("http://www.sec.gov/Archives/edgar/data/356870/0001019687-16-005825-index.html")</f>
        <v>http://www.sec.gov/Archives/edgar/data/356870/0001019687-16-005825-index.html</v>
      </c>
    </row>
    <row r="2142" spans="1:6" x14ac:dyDescent="0.2">
      <c r="A2142" t="s">
        <v>1951</v>
      </c>
      <c r="B2142" s="1">
        <v>731245</v>
      </c>
      <c r="C2142" s="1">
        <v>6798</v>
      </c>
      <c r="D2142" s="2">
        <v>42472</v>
      </c>
      <c r="E2142" s="1" t="s">
        <v>18</v>
      </c>
      <c r="F2142" t="str">
        <f>HYPERLINK("http://www.sec.gov/Archives/edgar/data/731245/0001144204-16-093925-index.html")</f>
        <v>http://www.sec.gov/Archives/edgar/data/731245/0001144204-16-093925-index.html</v>
      </c>
    </row>
    <row r="2143" spans="1:6" x14ac:dyDescent="0.2">
      <c r="A2143" t="s">
        <v>768</v>
      </c>
      <c r="B2143" s="1">
        <v>75439</v>
      </c>
      <c r="C2143" s="1">
        <v>3841</v>
      </c>
      <c r="D2143" s="2">
        <v>42472</v>
      </c>
      <c r="E2143" s="1" t="s">
        <v>18</v>
      </c>
      <c r="F2143" t="str">
        <f>HYPERLINK("http://www.sec.gov/Archives/edgar/data/75439/0001415889-16-005503-index.html")</f>
        <v>http://www.sec.gov/Archives/edgar/data/75439/0001415889-16-005503-index.html</v>
      </c>
    </row>
    <row r="2144" spans="1:6" x14ac:dyDescent="0.2">
      <c r="A2144" t="s">
        <v>503</v>
      </c>
      <c r="B2144" s="1">
        <v>1082733</v>
      </c>
      <c r="C2144" s="1">
        <v>4731</v>
      </c>
      <c r="D2144" s="2">
        <v>42471</v>
      </c>
      <c r="E2144" s="1" t="s">
        <v>18</v>
      </c>
      <c r="F2144" t="str">
        <f>HYPERLINK("http://www.sec.gov/Archives/edgar/data/1082733/0001493152-16-008799-index.html")</f>
        <v>http://www.sec.gov/Archives/edgar/data/1082733/0001493152-16-008799-index.html</v>
      </c>
    </row>
    <row r="2145" spans="1:6" x14ac:dyDescent="0.2">
      <c r="A2145" t="s">
        <v>1952</v>
      </c>
      <c r="B2145" s="1">
        <v>1128281</v>
      </c>
      <c r="C2145" s="1">
        <v>4581</v>
      </c>
      <c r="D2145" s="2">
        <v>42471</v>
      </c>
      <c r="E2145" s="1" t="s">
        <v>18</v>
      </c>
      <c r="F2145" t="str">
        <f>HYPERLINK("http://www.sec.gov/Archives/edgar/data/1128281/0001144204-16-093620-index.html")</f>
        <v>http://www.sec.gov/Archives/edgar/data/1128281/0001144204-16-093620-index.html</v>
      </c>
    </row>
    <row r="2146" spans="1:6" x14ac:dyDescent="0.2">
      <c r="A2146" t="s">
        <v>1333</v>
      </c>
      <c r="B2146" s="1">
        <v>1165639</v>
      </c>
      <c r="C2146" s="1">
        <v>7381</v>
      </c>
      <c r="D2146" s="2">
        <v>42471</v>
      </c>
      <c r="E2146" s="1" t="s">
        <v>42</v>
      </c>
      <c r="F2146" t="str">
        <f>HYPERLINK("http://www.sec.gov/Archives/edgar/data/1165639/0001078782-16-002595-index.html")</f>
        <v>http://www.sec.gov/Archives/edgar/data/1165639/0001078782-16-002595-index.html</v>
      </c>
    </row>
    <row r="2147" spans="1:6" x14ac:dyDescent="0.2">
      <c r="A2147" t="s">
        <v>1953</v>
      </c>
      <c r="B2147" s="1">
        <v>1285224</v>
      </c>
      <c r="C2147" s="1">
        <v>6022</v>
      </c>
      <c r="D2147" s="2">
        <v>42471</v>
      </c>
      <c r="E2147" s="1" t="s">
        <v>42</v>
      </c>
      <c r="F2147" t="str">
        <f>HYPERLINK("http://www.sec.gov/Archives/edgar/data/1285224/0001047469-16-012085-index.html")</f>
        <v>http://www.sec.gov/Archives/edgar/data/1285224/0001047469-16-012085-index.html</v>
      </c>
    </row>
    <row r="2148" spans="1:6" x14ac:dyDescent="0.2">
      <c r="A2148" t="s">
        <v>1954</v>
      </c>
      <c r="B2148" s="1">
        <v>1300938</v>
      </c>
      <c r="C2148" s="1">
        <v>1700</v>
      </c>
      <c r="D2148" s="2">
        <v>42471</v>
      </c>
      <c r="E2148" s="1" t="s">
        <v>18</v>
      </c>
      <c r="F2148" t="str">
        <f>HYPERLINK("http://www.sec.gov/Archives/edgar/data/1300938/0001185185-16-004190-index.html")</f>
        <v>http://www.sec.gov/Archives/edgar/data/1300938/0001185185-16-004190-index.html</v>
      </c>
    </row>
    <row r="2149" spans="1:6" x14ac:dyDescent="0.2">
      <c r="A2149" t="s">
        <v>1955</v>
      </c>
      <c r="B2149" s="1">
        <v>1518238</v>
      </c>
      <c r="C2149" s="1">
        <v>2080</v>
      </c>
      <c r="D2149" s="2">
        <v>42471</v>
      </c>
      <c r="E2149" s="1" t="s">
        <v>18</v>
      </c>
      <c r="F2149" t="str">
        <f>HYPERLINK("http://www.sec.gov/Archives/edgar/data/1518238/0001415889-16-005474-index.html")</f>
        <v>http://www.sec.gov/Archives/edgar/data/1518238/0001415889-16-005474-index.html</v>
      </c>
    </row>
    <row r="2150" spans="1:6" x14ac:dyDescent="0.2">
      <c r="A2150" t="s">
        <v>1956</v>
      </c>
      <c r="B2150" s="1">
        <v>1602381</v>
      </c>
      <c r="C2150" s="1">
        <v>7819</v>
      </c>
      <c r="D2150" s="2">
        <v>42471</v>
      </c>
      <c r="E2150" s="1" t="s">
        <v>18</v>
      </c>
      <c r="F2150" t="str">
        <f>HYPERLINK("http://www.sec.gov/Archives/edgar/data/1602381/0001078782-16-002593-index.html")</f>
        <v>http://www.sec.gov/Archives/edgar/data/1602381/0001078782-16-002593-index.html</v>
      </c>
    </row>
    <row r="2151" spans="1:6" x14ac:dyDescent="0.2">
      <c r="A2151" t="s">
        <v>1957</v>
      </c>
      <c r="B2151" s="1">
        <v>1610785</v>
      </c>
      <c r="C2151" s="1">
        <v>6770</v>
      </c>
      <c r="D2151" s="2">
        <v>42471</v>
      </c>
      <c r="E2151" s="1" t="s">
        <v>18</v>
      </c>
      <c r="F2151" t="str">
        <f>HYPERLINK("http://www.sec.gov/Archives/edgar/data/1610785/0001615774-16-004886-index.html")</f>
        <v>http://www.sec.gov/Archives/edgar/data/1610785/0001615774-16-004886-index.html</v>
      </c>
    </row>
    <row r="2152" spans="1:6" x14ac:dyDescent="0.2">
      <c r="A2152" t="s">
        <v>1958</v>
      </c>
      <c r="B2152" s="1">
        <v>1624326</v>
      </c>
      <c r="C2152" s="1">
        <v>3841</v>
      </c>
      <c r="D2152" s="2">
        <v>42471</v>
      </c>
      <c r="E2152" s="1" t="s">
        <v>18</v>
      </c>
      <c r="F2152" t="str">
        <f>HYPERLINK("http://www.sec.gov/Archives/edgar/data/1624326/0001571049-16-013787-index.html")</f>
        <v>http://www.sec.gov/Archives/edgar/data/1624326/0001571049-16-013787-index.html</v>
      </c>
    </row>
    <row r="2153" spans="1:6" x14ac:dyDescent="0.2">
      <c r="A2153" t="s">
        <v>1959</v>
      </c>
      <c r="B2153" s="1">
        <v>1639300</v>
      </c>
      <c r="C2153" s="1">
        <v>5331</v>
      </c>
      <c r="D2153" s="2">
        <v>42471</v>
      </c>
      <c r="E2153" s="1" t="s">
        <v>18</v>
      </c>
      <c r="F2153" t="str">
        <f>HYPERLINK("http://www.sec.gov/Archives/edgar/data/1639300/0001193125-16-536766-index.html")</f>
        <v>http://www.sec.gov/Archives/edgar/data/1639300/0001193125-16-536766-index.html</v>
      </c>
    </row>
    <row r="2154" spans="1:6" x14ac:dyDescent="0.2">
      <c r="A2154" t="s">
        <v>1960</v>
      </c>
      <c r="B2154" s="1">
        <v>66388</v>
      </c>
      <c r="C2154" s="1">
        <v>6512</v>
      </c>
      <c r="D2154" s="2">
        <v>42471</v>
      </c>
      <c r="E2154" s="1" t="s">
        <v>18</v>
      </c>
      <c r="F2154" t="str">
        <f>HYPERLINK("http://www.sec.gov/Archives/edgar/data/66388/0001144204-16-093584-index.html")</f>
        <v>http://www.sec.gov/Archives/edgar/data/66388/0001144204-16-093584-index.html</v>
      </c>
    </row>
    <row r="2155" spans="1:6" x14ac:dyDescent="0.2">
      <c r="A2155" t="s">
        <v>1961</v>
      </c>
      <c r="B2155" s="1">
        <v>707511</v>
      </c>
      <c r="C2155" s="1">
        <v>2834</v>
      </c>
      <c r="D2155" s="2">
        <v>42471</v>
      </c>
      <c r="E2155" s="1" t="s">
        <v>18</v>
      </c>
      <c r="F2155" t="str">
        <f>HYPERLINK("http://www.sec.gov/Archives/edgar/data/707511/0001144204-16-093682-index.html")</f>
        <v>http://www.sec.gov/Archives/edgar/data/707511/0001144204-16-093682-index.html</v>
      </c>
    </row>
    <row r="2156" spans="1:6" x14ac:dyDescent="0.2">
      <c r="A2156" t="s">
        <v>1962</v>
      </c>
      <c r="B2156" s="1">
        <v>8504</v>
      </c>
      <c r="C2156" s="1">
        <v>1311</v>
      </c>
      <c r="D2156" s="2">
        <v>42471</v>
      </c>
      <c r="E2156" s="1" t="s">
        <v>18</v>
      </c>
      <c r="F2156" t="str">
        <f>HYPERLINK("http://www.sec.gov/Archives/edgar/data/8504/0001144204-16-093691-index.html")</f>
        <v>http://www.sec.gov/Archives/edgar/data/8504/0001144204-16-093691-index.html</v>
      </c>
    </row>
    <row r="2157" spans="1:6" x14ac:dyDescent="0.2">
      <c r="A2157" t="s">
        <v>1963</v>
      </c>
      <c r="B2157" s="1">
        <v>884940</v>
      </c>
      <c r="C2157" s="1">
        <v>5651</v>
      </c>
      <c r="D2157" s="2">
        <v>42471</v>
      </c>
      <c r="E2157" s="1" t="s">
        <v>18</v>
      </c>
      <c r="F2157" t="str">
        <f>HYPERLINK("http://www.sec.gov/Archives/edgar/data/884940/0001193125-16-537187-index.html")</f>
        <v>http://www.sec.gov/Archives/edgar/data/884940/0001193125-16-537187-index.html</v>
      </c>
    </row>
    <row r="2158" spans="1:6" x14ac:dyDescent="0.2">
      <c r="A2158" t="s">
        <v>1964</v>
      </c>
      <c r="B2158" s="1">
        <v>889123</v>
      </c>
      <c r="C2158" s="1">
        <v>6500</v>
      </c>
      <c r="D2158" s="2">
        <v>42471</v>
      </c>
      <c r="E2158" s="1" t="s">
        <v>18</v>
      </c>
      <c r="F2158" t="str">
        <f>HYPERLINK("http://www.sec.gov/Archives/edgar/data/889123/0001193125-16-537334-index.html")</f>
        <v>http://www.sec.gov/Archives/edgar/data/889123/0001193125-16-537334-index.html</v>
      </c>
    </row>
    <row r="2159" spans="1:6" x14ac:dyDescent="0.2">
      <c r="A2159" t="s">
        <v>1965</v>
      </c>
      <c r="B2159" s="1">
        <v>910322</v>
      </c>
      <c r="C2159" s="1">
        <v>6035</v>
      </c>
      <c r="D2159" s="2">
        <v>42471</v>
      </c>
      <c r="E2159" s="1" t="s">
        <v>42</v>
      </c>
      <c r="F2159" t="str">
        <f>HYPERLINK("http://www.sec.gov/Archives/edgar/data/910322/0001144204-16-093725-index.html")</f>
        <v>http://www.sec.gov/Archives/edgar/data/910322/0001144204-16-093725-index.html</v>
      </c>
    </row>
    <row r="2160" spans="1:6" x14ac:dyDescent="0.2">
      <c r="A2160" t="s">
        <v>1966</v>
      </c>
      <c r="B2160" s="1">
        <v>1004411</v>
      </c>
      <c r="C2160" s="1">
        <v>2100</v>
      </c>
      <c r="D2160" s="2">
        <v>42468</v>
      </c>
      <c r="E2160" s="1" t="s">
        <v>18</v>
      </c>
      <c r="F2160" t="str">
        <f>HYPERLINK("http://www.sec.gov/Archives/edgar/data/1004411/0001354488-16-006915-index.html")</f>
        <v>http://www.sec.gov/Archives/edgar/data/1004411/0001354488-16-006915-index.html</v>
      </c>
    </row>
    <row r="2161" spans="1:6" x14ac:dyDescent="0.2">
      <c r="A2161" t="s">
        <v>1967</v>
      </c>
      <c r="B2161" s="1">
        <v>1056285</v>
      </c>
      <c r="C2161" s="1">
        <v>5990</v>
      </c>
      <c r="D2161" s="2">
        <v>42468</v>
      </c>
      <c r="E2161" s="1" t="s">
        <v>18</v>
      </c>
      <c r="F2161" t="str">
        <f>HYPERLINK("http://www.sec.gov/Archives/edgar/data/1056285/0001193125-16-535625-index.html")</f>
        <v>http://www.sec.gov/Archives/edgar/data/1056285/0001193125-16-535625-index.html</v>
      </c>
    </row>
    <row r="2162" spans="1:6" x14ac:dyDescent="0.2">
      <c r="A2162" t="s">
        <v>1968</v>
      </c>
      <c r="B2162" s="1">
        <v>1100778</v>
      </c>
      <c r="C2162" s="1">
        <v>9995</v>
      </c>
      <c r="D2162" s="2">
        <v>42468</v>
      </c>
      <c r="E2162" s="1" t="s">
        <v>18</v>
      </c>
      <c r="F2162" t="str">
        <f>HYPERLINK("http://www.sec.gov/Archives/edgar/data/1100778/0001165527-16-000727-index.html")</f>
        <v>http://www.sec.gov/Archives/edgar/data/1100778/0001165527-16-000727-index.html</v>
      </c>
    </row>
    <row r="2163" spans="1:6" x14ac:dyDescent="0.2">
      <c r="A2163" t="s">
        <v>1969</v>
      </c>
      <c r="B2163" s="1">
        <v>1396054</v>
      </c>
      <c r="C2163" s="1">
        <v>1000</v>
      </c>
      <c r="D2163" s="2">
        <v>42468</v>
      </c>
      <c r="E2163" s="1" t="s">
        <v>18</v>
      </c>
      <c r="F2163" t="str">
        <f>HYPERLINK("http://www.sec.gov/Archives/edgar/data/1396054/0001165527-16-000725-index.html")</f>
        <v>http://www.sec.gov/Archives/edgar/data/1396054/0001165527-16-000725-index.html</v>
      </c>
    </row>
    <row r="2164" spans="1:6" x14ac:dyDescent="0.2">
      <c r="A2164" t="s">
        <v>1970</v>
      </c>
      <c r="B2164" s="1">
        <v>1454510</v>
      </c>
      <c r="C2164" s="1">
        <v>7389</v>
      </c>
      <c r="D2164" s="2">
        <v>42468</v>
      </c>
      <c r="E2164" s="1" t="s">
        <v>18</v>
      </c>
      <c r="F2164" t="str">
        <f>HYPERLINK("http://www.sec.gov/Archives/edgar/data/1454510/0001079974-16-001107-index.html")</f>
        <v>http://www.sec.gov/Archives/edgar/data/1454510/0001079974-16-001107-index.html</v>
      </c>
    </row>
    <row r="2165" spans="1:6" x14ac:dyDescent="0.2">
      <c r="A2165" t="s">
        <v>1971</v>
      </c>
      <c r="B2165" s="1">
        <v>1455694</v>
      </c>
      <c r="C2165" s="1">
        <v>2834</v>
      </c>
      <c r="D2165" s="2">
        <v>42468</v>
      </c>
      <c r="E2165" s="1" t="s">
        <v>18</v>
      </c>
      <c r="F2165" t="str">
        <f>HYPERLINK("http://www.sec.gov/Archives/edgar/data/1455694/0001493152-16-008758-index.html")</f>
        <v>http://www.sec.gov/Archives/edgar/data/1455694/0001493152-16-008758-index.html</v>
      </c>
    </row>
    <row r="2166" spans="1:6" x14ac:dyDescent="0.2">
      <c r="A2166" t="s">
        <v>1972</v>
      </c>
      <c r="B2166" s="1">
        <v>1479915</v>
      </c>
      <c r="C2166" s="1">
        <v>6770</v>
      </c>
      <c r="D2166" s="2">
        <v>42468</v>
      </c>
      <c r="E2166" s="1" t="s">
        <v>18</v>
      </c>
      <c r="F2166" t="str">
        <f>HYPERLINK("http://www.sec.gov/Archives/edgar/data/1479915/0001493152-16-008752-index.html")</f>
        <v>http://www.sec.gov/Archives/edgar/data/1479915/0001493152-16-008752-index.html</v>
      </c>
    </row>
    <row r="2167" spans="1:6" x14ac:dyDescent="0.2">
      <c r="A2167" t="s">
        <v>1973</v>
      </c>
      <c r="B2167" s="1">
        <v>1497188</v>
      </c>
      <c r="C2167" s="1">
        <v>6512</v>
      </c>
      <c r="D2167" s="2">
        <v>42468</v>
      </c>
      <c r="E2167" s="1" t="s">
        <v>18</v>
      </c>
      <c r="F2167" t="str">
        <f>HYPERLINK("http://www.sec.gov/Archives/edgar/data/1497188/0001497188-16-000022-index.html")</f>
        <v>http://www.sec.gov/Archives/edgar/data/1497188/0001497188-16-000022-index.html</v>
      </c>
    </row>
    <row r="2168" spans="1:6" x14ac:dyDescent="0.2">
      <c r="A2168" t="s">
        <v>1974</v>
      </c>
      <c r="B2168" s="1">
        <v>1539892</v>
      </c>
      <c r="C2168" s="1">
        <v>6770</v>
      </c>
      <c r="D2168" s="2">
        <v>42468</v>
      </c>
      <c r="E2168" s="1" t="s">
        <v>18</v>
      </c>
      <c r="F2168" t="str">
        <f>HYPERLINK("http://www.sec.gov/Archives/edgar/data/1539892/0001144204-16-093380-index.html")</f>
        <v>http://www.sec.gov/Archives/edgar/data/1539892/0001144204-16-093380-index.html</v>
      </c>
    </row>
    <row r="2169" spans="1:6" x14ac:dyDescent="0.2">
      <c r="A2169" t="s">
        <v>1975</v>
      </c>
      <c r="B2169" s="1">
        <v>1567771</v>
      </c>
      <c r="C2169" s="1">
        <v>7374</v>
      </c>
      <c r="D2169" s="2">
        <v>42468</v>
      </c>
      <c r="E2169" s="1" t="s">
        <v>18</v>
      </c>
      <c r="F2169" t="str">
        <f>HYPERLINK("http://www.sec.gov/Archives/edgar/data/1567771/0001493152-16-008723-index.html")</f>
        <v>http://www.sec.gov/Archives/edgar/data/1567771/0001493152-16-008723-index.html</v>
      </c>
    </row>
    <row r="2170" spans="1:6" x14ac:dyDescent="0.2">
      <c r="A2170" t="s">
        <v>1976</v>
      </c>
      <c r="B2170" s="1">
        <v>1649744</v>
      </c>
      <c r="C2170" s="1">
        <v>5600</v>
      </c>
      <c r="D2170" s="2">
        <v>42468</v>
      </c>
      <c r="E2170" s="1" t="s">
        <v>18</v>
      </c>
      <c r="F2170" t="str">
        <f>HYPERLINK("http://www.sec.gov/Archives/edgar/data/1649744/0001649744-16-000023-index.html")</f>
        <v>http://www.sec.gov/Archives/edgar/data/1649744/0001649744-16-000023-index.html</v>
      </c>
    </row>
    <row r="2171" spans="1:6" x14ac:dyDescent="0.2">
      <c r="A2171" t="s">
        <v>1977</v>
      </c>
      <c r="B2171" s="1">
        <v>56868</v>
      </c>
      <c r="C2171" s="1">
        <v>1311</v>
      </c>
      <c r="D2171" s="2">
        <v>42468</v>
      </c>
      <c r="E2171" s="1" t="s">
        <v>18</v>
      </c>
      <c r="F2171" t="str">
        <f>HYPERLINK("http://www.sec.gov/Archives/edgar/data/56868/0001193125-16-534116-index.html")</f>
        <v>http://www.sec.gov/Archives/edgar/data/56868/0001193125-16-534116-index.html</v>
      </c>
    </row>
    <row r="2172" spans="1:6" x14ac:dyDescent="0.2">
      <c r="A2172" t="s">
        <v>1960</v>
      </c>
      <c r="B2172" s="1">
        <v>66388</v>
      </c>
      <c r="C2172" s="1">
        <v>6512</v>
      </c>
      <c r="D2172" s="2">
        <v>42468</v>
      </c>
      <c r="E2172" s="1" t="s">
        <v>18</v>
      </c>
      <c r="F2172" t="str">
        <f>HYPERLINK("http://www.sec.gov/Archives/edgar/data/66388/0001144204-16-093373-index.html")</f>
        <v>http://www.sec.gov/Archives/edgar/data/66388/0001144204-16-093373-index.html</v>
      </c>
    </row>
    <row r="2173" spans="1:6" x14ac:dyDescent="0.2">
      <c r="A2173" t="s">
        <v>1960</v>
      </c>
      <c r="B2173" s="1">
        <v>66388</v>
      </c>
      <c r="C2173" s="1">
        <v>6512</v>
      </c>
      <c r="D2173" s="2">
        <v>42468</v>
      </c>
      <c r="E2173" s="1" t="s">
        <v>18</v>
      </c>
      <c r="F2173" t="str">
        <f>HYPERLINK("http://www.sec.gov/Archives/edgar/data/66388/0001144204-16-093474-index.html")</f>
        <v>http://www.sec.gov/Archives/edgar/data/66388/0001144204-16-093474-index.html</v>
      </c>
    </row>
    <row r="2174" spans="1:6" x14ac:dyDescent="0.2">
      <c r="A2174" t="s">
        <v>1978</v>
      </c>
      <c r="B2174" s="1">
        <v>700764</v>
      </c>
      <c r="C2174" s="1">
        <v>1311</v>
      </c>
      <c r="D2174" s="2">
        <v>42468</v>
      </c>
      <c r="E2174" s="1" t="s">
        <v>18</v>
      </c>
      <c r="F2174" t="str">
        <f>HYPERLINK("http://www.sec.gov/Archives/edgar/data/700764/0001628280-16-014105-index.html")</f>
        <v>http://www.sec.gov/Archives/edgar/data/700764/0001628280-16-014105-index.html</v>
      </c>
    </row>
    <row r="2175" spans="1:6" x14ac:dyDescent="0.2">
      <c r="A2175" t="s">
        <v>1979</v>
      </c>
      <c r="B2175" s="1">
        <v>79958</v>
      </c>
      <c r="C2175" s="1">
        <v>3320</v>
      </c>
      <c r="D2175" s="2">
        <v>42468</v>
      </c>
      <c r="E2175" s="1" t="s">
        <v>21</v>
      </c>
      <c r="F2175" t="str">
        <f>HYPERLINK("http://www.sec.gov/Archives/edgar/data/79958/0000079958-16-000138-index.html")</f>
        <v>http://www.sec.gov/Archives/edgar/data/79958/0000079958-16-000138-index.html</v>
      </c>
    </row>
    <row r="2176" spans="1:6" x14ac:dyDescent="0.2">
      <c r="A2176" t="s">
        <v>1980</v>
      </c>
      <c r="B2176" s="1">
        <v>8146</v>
      </c>
      <c r="C2176" s="1">
        <v>3577</v>
      </c>
      <c r="D2176" s="2">
        <v>42468</v>
      </c>
      <c r="E2176" s="1" t="s">
        <v>18</v>
      </c>
      <c r="F2176" t="str">
        <f>HYPERLINK("http://www.sec.gov/Archives/edgar/data/8146/0001193125-16-534900-index.html")</f>
        <v>http://www.sec.gov/Archives/edgar/data/8146/0001193125-16-534900-index.html</v>
      </c>
    </row>
    <row r="2177" spans="1:6" x14ac:dyDescent="0.2">
      <c r="A2177" t="s">
        <v>1981</v>
      </c>
      <c r="B2177" s="1">
        <v>844856</v>
      </c>
      <c r="C2177" s="1">
        <v>2100</v>
      </c>
      <c r="D2177" s="2">
        <v>42468</v>
      </c>
      <c r="E2177" s="1" t="s">
        <v>18</v>
      </c>
      <c r="F2177" t="str">
        <f>HYPERLINK("http://www.sec.gov/Archives/edgar/data/844856/0001571049-16-013764-index.html")</f>
        <v>http://www.sec.gov/Archives/edgar/data/844856/0001571049-16-013764-index.html</v>
      </c>
    </row>
    <row r="2178" spans="1:6" x14ac:dyDescent="0.2">
      <c r="A2178" t="s">
        <v>1982</v>
      </c>
      <c r="B2178" s="1">
        <v>844887</v>
      </c>
      <c r="C2178" s="1">
        <v>7011</v>
      </c>
      <c r="D2178" s="2">
        <v>42468</v>
      </c>
      <c r="E2178" s="1" t="s">
        <v>18</v>
      </c>
      <c r="F2178" t="str">
        <f>HYPERLINK("http://www.sec.gov/Archives/edgar/data/844887/0001445866-16-001896-index.html")</f>
        <v>http://www.sec.gov/Archives/edgar/data/844887/0001445866-16-001896-index.html</v>
      </c>
    </row>
    <row r="2179" spans="1:6" x14ac:dyDescent="0.2">
      <c r="A2179" t="s">
        <v>1983</v>
      </c>
      <c r="B2179" s="1">
        <v>1140414</v>
      </c>
      <c r="C2179" s="1">
        <v>1381</v>
      </c>
      <c r="D2179" s="2">
        <v>42467</v>
      </c>
      <c r="E2179" s="1" t="s">
        <v>18</v>
      </c>
      <c r="F2179" t="str">
        <f>HYPERLINK("http://www.sec.gov/Archives/edgar/data/1140414/0001387131-16-004912-index.html")</f>
        <v>http://www.sec.gov/Archives/edgar/data/1140414/0001387131-16-004912-index.html</v>
      </c>
    </row>
    <row r="2180" spans="1:6" x14ac:dyDescent="0.2">
      <c r="A2180" t="s">
        <v>1984</v>
      </c>
      <c r="B2180" s="1">
        <v>1330849</v>
      </c>
      <c r="C2180" s="1">
        <v>1381</v>
      </c>
      <c r="D2180" s="2">
        <v>42467</v>
      </c>
      <c r="E2180" s="1" t="s">
        <v>42</v>
      </c>
      <c r="F2180" t="str">
        <f>HYPERLINK("http://www.sec.gov/Archives/edgar/data/1330849/0001330849-16-000145-index.html")</f>
        <v>http://www.sec.gov/Archives/edgar/data/1330849/0001330849-16-000145-index.html</v>
      </c>
    </row>
    <row r="2181" spans="1:6" x14ac:dyDescent="0.2">
      <c r="A2181" t="s">
        <v>1985</v>
      </c>
      <c r="B2181" s="1">
        <v>1335293</v>
      </c>
      <c r="C2181" s="1">
        <v>3640</v>
      </c>
      <c r="D2181" s="2">
        <v>42467</v>
      </c>
      <c r="E2181" s="1" t="s">
        <v>18</v>
      </c>
      <c r="F2181" t="str">
        <f>HYPERLINK("http://www.sec.gov/Archives/edgar/data/1335293/0001144204-16-093289-index.html")</f>
        <v>http://www.sec.gov/Archives/edgar/data/1335293/0001144204-16-093289-index.html</v>
      </c>
    </row>
    <row r="2182" spans="1:6" x14ac:dyDescent="0.2">
      <c r="A2182" t="s">
        <v>1986</v>
      </c>
      <c r="B2182" s="1">
        <v>1344736</v>
      </c>
      <c r="C2182" s="1">
        <v>8734</v>
      </c>
      <c r="D2182" s="2">
        <v>42467</v>
      </c>
      <c r="E2182" s="1" t="s">
        <v>18</v>
      </c>
      <c r="F2182" t="str">
        <f>HYPERLINK("http://www.sec.gov/Archives/edgar/data/1344736/0001445866-16-001891-index.html")</f>
        <v>http://www.sec.gov/Archives/edgar/data/1344736/0001445866-16-001891-index.html</v>
      </c>
    </row>
    <row r="2183" spans="1:6" x14ac:dyDescent="0.2">
      <c r="A2183" t="s">
        <v>1987</v>
      </c>
      <c r="B2183" s="1">
        <v>1355042</v>
      </c>
      <c r="C2183" s="1">
        <v>5010</v>
      </c>
      <c r="D2183" s="2">
        <v>42467</v>
      </c>
      <c r="E2183" s="1" t="s">
        <v>18</v>
      </c>
      <c r="F2183" t="str">
        <f>HYPERLINK("http://www.sec.gov/Archives/edgar/data/1355042/0001213900-16-012294-index.html")</f>
        <v>http://www.sec.gov/Archives/edgar/data/1355042/0001213900-16-012294-index.html</v>
      </c>
    </row>
    <row r="2184" spans="1:6" x14ac:dyDescent="0.2">
      <c r="A2184" t="s">
        <v>1988</v>
      </c>
      <c r="B2184" s="1">
        <v>1376231</v>
      </c>
      <c r="C2184" s="1">
        <v>7372</v>
      </c>
      <c r="D2184" s="2">
        <v>42467</v>
      </c>
      <c r="E2184" s="1" t="s">
        <v>18</v>
      </c>
      <c r="F2184" t="str">
        <f>HYPERLINK("http://www.sec.gov/Archives/edgar/data/1376231/0001580957-16-000586-index.html")</f>
        <v>http://www.sec.gov/Archives/edgar/data/1376231/0001580957-16-000586-index.html</v>
      </c>
    </row>
    <row r="2185" spans="1:6" x14ac:dyDescent="0.2">
      <c r="A2185" t="s">
        <v>1989</v>
      </c>
      <c r="B2185" s="1">
        <v>1426011</v>
      </c>
      <c r="C2185" s="1">
        <v>6798</v>
      </c>
      <c r="D2185" s="2">
        <v>42467</v>
      </c>
      <c r="E2185" s="1" t="s">
        <v>18</v>
      </c>
      <c r="F2185" t="str">
        <f>HYPERLINK("http://www.sec.gov/Archives/edgar/data/1426011/0001515971-16-000473-index.html")</f>
        <v>http://www.sec.gov/Archives/edgar/data/1426011/0001515971-16-000473-index.html</v>
      </c>
    </row>
    <row r="2186" spans="1:6" x14ac:dyDescent="0.2">
      <c r="A2186" t="s">
        <v>1990</v>
      </c>
      <c r="B2186" s="1">
        <v>1579823</v>
      </c>
      <c r="C2186" s="1">
        <v>2082</v>
      </c>
      <c r="D2186" s="2">
        <v>42467</v>
      </c>
      <c r="E2186" s="1" t="s">
        <v>18</v>
      </c>
      <c r="F2186" t="str">
        <f>HYPERLINK("http://www.sec.gov/Archives/edgar/data/1579823/0001079974-16-001104-index.html")</f>
        <v>http://www.sec.gov/Archives/edgar/data/1579823/0001079974-16-001104-index.html</v>
      </c>
    </row>
    <row r="2187" spans="1:6" x14ac:dyDescent="0.2">
      <c r="A2187" t="s">
        <v>371</v>
      </c>
      <c r="B2187" s="1">
        <v>1582586</v>
      </c>
      <c r="C2187" s="1">
        <v>6770</v>
      </c>
      <c r="D2187" s="2">
        <v>42467</v>
      </c>
      <c r="E2187" s="1" t="s">
        <v>42</v>
      </c>
      <c r="F2187" t="str">
        <f>HYPERLINK("http://www.sec.gov/Archives/edgar/data/1582586/0001582586-16-000065-index.html")</f>
        <v>http://www.sec.gov/Archives/edgar/data/1582586/0001582586-16-000065-index.html</v>
      </c>
    </row>
    <row r="2188" spans="1:6" x14ac:dyDescent="0.2">
      <c r="A2188" t="s">
        <v>1991</v>
      </c>
      <c r="B2188" s="1">
        <v>711665</v>
      </c>
      <c r="C2188" s="1">
        <v>3845</v>
      </c>
      <c r="D2188" s="2">
        <v>42467</v>
      </c>
      <c r="E2188" s="1" t="s">
        <v>18</v>
      </c>
      <c r="F2188" t="str">
        <f>HYPERLINK("http://www.sec.gov/Archives/edgar/data/711665/0001615774-16-004854-index.html")</f>
        <v>http://www.sec.gov/Archives/edgar/data/711665/0001615774-16-004854-index.html</v>
      </c>
    </row>
    <row r="2189" spans="1:6" x14ac:dyDescent="0.2">
      <c r="A2189" t="s">
        <v>1992</v>
      </c>
      <c r="B2189" s="1">
        <v>764630</v>
      </c>
      <c r="C2189" s="1">
        <v>6794</v>
      </c>
      <c r="D2189" s="2">
        <v>42467</v>
      </c>
      <c r="E2189" s="1" t="s">
        <v>18</v>
      </c>
      <c r="F2189" t="str">
        <f>HYPERLINK("http://www.sec.gov/Archives/edgar/data/764630/0001144204-16-093244-index.html")</f>
        <v>http://www.sec.gov/Archives/edgar/data/764630/0001144204-16-093244-index.html</v>
      </c>
    </row>
    <row r="2190" spans="1:6" x14ac:dyDescent="0.2">
      <c r="A2190" t="s">
        <v>1993</v>
      </c>
      <c r="B2190" s="1">
        <v>926423</v>
      </c>
      <c r="C2190" s="1">
        <v>7359</v>
      </c>
      <c r="D2190" s="2">
        <v>42467</v>
      </c>
      <c r="E2190" s="1" t="s">
        <v>18</v>
      </c>
      <c r="F2190" t="str">
        <f>HYPERLINK("http://www.sec.gov/Archives/edgar/data/926423/0001193125-16-533937-index.html")</f>
        <v>http://www.sec.gov/Archives/edgar/data/926423/0001193125-16-533937-index.html</v>
      </c>
    </row>
    <row r="2191" spans="1:6" x14ac:dyDescent="0.2">
      <c r="A2191" t="s">
        <v>371</v>
      </c>
      <c r="B2191" s="1">
        <v>1582586</v>
      </c>
      <c r="C2191" s="1">
        <v>6770</v>
      </c>
      <c r="D2191" s="2">
        <v>42467</v>
      </c>
      <c r="E2191" s="1" t="s">
        <v>42</v>
      </c>
      <c r="F2191" t="str">
        <f>HYPERLINK("http://www.sec.gov/Archives/edgar/data/1582586/0001582586-16-000065-index.html")</f>
        <v>http://www.sec.gov/Archives/edgar/data/1582586/0001582586-16-000065-index.html</v>
      </c>
    </row>
    <row r="2192" spans="1:6" x14ac:dyDescent="0.2">
      <c r="A2192" t="s">
        <v>1994</v>
      </c>
      <c r="B2192" s="1">
        <v>1102358</v>
      </c>
      <c r="C2192" s="1">
        <v>2890</v>
      </c>
      <c r="D2192" s="2">
        <v>42466</v>
      </c>
      <c r="E2192" s="1" t="s">
        <v>18</v>
      </c>
      <c r="F2192" t="str">
        <f>HYPERLINK("http://www.sec.gov/Archives/edgar/data/1102358/0001552781-16-001508-index.html")</f>
        <v>http://www.sec.gov/Archives/edgar/data/1102358/0001552781-16-001508-index.html</v>
      </c>
    </row>
    <row r="2193" spans="1:6" x14ac:dyDescent="0.2">
      <c r="A2193" t="s">
        <v>1995</v>
      </c>
      <c r="B2193" s="1">
        <v>1398137</v>
      </c>
      <c r="C2193" s="1">
        <v>7380</v>
      </c>
      <c r="D2193" s="2">
        <v>42466</v>
      </c>
      <c r="E2193" s="1" t="s">
        <v>18</v>
      </c>
      <c r="F2193" t="str">
        <f>HYPERLINK("http://www.sec.gov/Archives/edgar/data/1398137/0001493152-16-008694-index.html")</f>
        <v>http://www.sec.gov/Archives/edgar/data/1398137/0001493152-16-008694-index.html</v>
      </c>
    </row>
    <row r="2194" spans="1:6" x14ac:dyDescent="0.2">
      <c r="A2194" t="s">
        <v>1996</v>
      </c>
      <c r="B2194" s="1">
        <v>1407190</v>
      </c>
      <c r="C2194" s="1">
        <v>3572</v>
      </c>
      <c r="D2194" s="2">
        <v>42466</v>
      </c>
      <c r="E2194" s="1" t="s">
        <v>18</v>
      </c>
      <c r="F2194" t="str">
        <f>HYPERLINK("http://www.sec.gov/Archives/edgar/data/1407190/0001193125-16-531882-index.html")</f>
        <v>http://www.sec.gov/Archives/edgar/data/1407190/0001193125-16-531882-index.html</v>
      </c>
    </row>
    <row r="2195" spans="1:6" x14ac:dyDescent="0.2">
      <c r="A2195" t="s">
        <v>1997</v>
      </c>
      <c r="B2195" s="1">
        <v>1521466</v>
      </c>
      <c r="C2195" s="1">
        <v>6770</v>
      </c>
      <c r="D2195" s="2">
        <v>42466</v>
      </c>
      <c r="E2195" s="1" t="s">
        <v>18</v>
      </c>
      <c r="F2195" t="str">
        <f>HYPERLINK("http://www.sec.gov/Archives/edgar/data/1521466/0001477932-16-009526-index.html")</f>
        <v>http://www.sec.gov/Archives/edgar/data/1521466/0001477932-16-009526-index.html</v>
      </c>
    </row>
    <row r="2196" spans="1:6" x14ac:dyDescent="0.2">
      <c r="A2196" t="s">
        <v>1998</v>
      </c>
      <c r="B2196" s="1">
        <v>1528610</v>
      </c>
      <c r="C2196" s="1">
        <v>6035</v>
      </c>
      <c r="D2196" s="2">
        <v>42466</v>
      </c>
      <c r="E2196" s="1" t="s">
        <v>18</v>
      </c>
      <c r="F2196" t="str">
        <f>HYPERLINK("http://www.sec.gov/Archives/edgar/data/1528610/0001144204-16-093003-index.html")</f>
        <v>http://www.sec.gov/Archives/edgar/data/1528610/0001144204-16-093003-index.html</v>
      </c>
    </row>
    <row r="2197" spans="1:6" x14ac:dyDescent="0.2">
      <c r="A2197" t="s">
        <v>1999</v>
      </c>
      <c r="B2197" s="1">
        <v>1636760</v>
      </c>
      <c r="C2197" s="1">
        <v>7389</v>
      </c>
      <c r="D2197" s="2">
        <v>42466</v>
      </c>
      <c r="E2197" s="1" t="s">
        <v>18</v>
      </c>
      <c r="F2197" t="str">
        <f>HYPERLINK("http://www.sec.gov/Archives/edgar/data/1636760/0001165527-16-000722-index.html")</f>
        <v>http://www.sec.gov/Archives/edgar/data/1636760/0001165527-16-000722-index.html</v>
      </c>
    </row>
    <row r="2198" spans="1:6" x14ac:dyDescent="0.2">
      <c r="A2198" t="s">
        <v>2000</v>
      </c>
      <c r="B2198" s="1">
        <v>1638227</v>
      </c>
      <c r="C2198" s="1">
        <v>6189</v>
      </c>
      <c r="D2198" s="2">
        <v>42466</v>
      </c>
      <c r="E2198" s="1" t="s">
        <v>42</v>
      </c>
      <c r="F2198" t="str">
        <f>HYPERLINK("http://www.sec.gov/Archives/edgar/data/1638227/0001056404-16-004103-index.html")</f>
        <v>http://www.sec.gov/Archives/edgar/data/1638227/0001056404-16-004103-index.html</v>
      </c>
    </row>
    <row r="2199" spans="1:6" x14ac:dyDescent="0.2">
      <c r="A2199" t="s">
        <v>2001</v>
      </c>
      <c r="B2199" s="1">
        <v>1638933</v>
      </c>
      <c r="C2199" s="1">
        <v>6189</v>
      </c>
      <c r="D2199" s="2">
        <v>42466</v>
      </c>
      <c r="E2199" s="1" t="s">
        <v>42</v>
      </c>
      <c r="F2199" t="str">
        <f>HYPERLINK("http://www.sec.gov/Archives/edgar/data/1638933/0001056404-16-004104-index.html")</f>
        <v>http://www.sec.gov/Archives/edgar/data/1638933/0001056404-16-004104-index.html</v>
      </c>
    </row>
    <row r="2200" spans="1:6" x14ac:dyDescent="0.2">
      <c r="A2200" t="s">
        <v>2002</v>
      </c>
      <c r="B2200" s="1">
        <v>1643550</v>
      </c>
      <c r="C2200" s="1">
        <v>6189</v>
      </c>
      <c r="D2200" s="2">
        <v>42466</v>
      </c>
      <c r="E2200" s="1" t="s">
        <v>42</v>
      </c>
      <c r="F2200" t="str">
        <f>HYPERLINK("http://www.sec.gov/Archives/edgar/data/1643550/0001056404-16-004113-index.html")</f>
        <v>http://www.sec.gov/Archives/edgar/data/1643550/0001056404-16-004113-index.html</v>
      </c>
    </row>
    <row r="2201" spans="1:6" x14ac:dyDescent="0.2">
      <c r="A2201" t="s">
        <v>2003</v>
      </c>
      <c r="B2201" s="1">
        <v>1643873</v>
      </c>
      <c r="C2201" s="1">
        <v>6189</v>
      </c>
      <c r="D2201" s="2">
        <v>42466</v>
      </c>
      <c r="E2201" s="1" t="s">
        <v>42</v>
      </c>
      <c r="F2201" t="str">
        <f>HYPERLINK("http://www.sec.gov/Archives/edgar/data/1643873/0001056404-16-004116-index.html")</f>
        <v>http://www.sec.gov/Archives/edgar/data/1643873/0001056404-16-004116-index.html</v>
      </c>
    </row>
    <row r="2202" spans="1:6" x14ac:dyDescent="0.2">
      <c r="A2202" t="s">
        <v>2004</v>
      </c>
      <c r="B2202" s="1">
        <v>1647587</v>
      </c>
      <c r="C2202" s="1">
        <v>6189</v>
      </c>
      <c r="D2202" s="2">
        <v>42466</v>
      </c>
      <c r="E2202" s="1" t="s">
        <v>42</v>
      </c>
      <c r="F2202" t="str">
        <f>HYPERLINK("http://www.sec.gov/Archives/edgar/data/1647587/0001056404-16-004112-index.html")</f>
        <v>http://www.sec.gov/Archives/edgar/data/1647587/0001056404-16-004112-index.html</v>
      </c>
    </row>
    <row r="2203" spans="1:6" x14ac:dyDescent="0.2">
      <c r="A2203" t="s">
        <v>2005</v>
      </c>
      <c r="B2203" s="1">
        <v>1648858</v>
      </c>
      <c r="C2203" s="1">
        <v>6189</v>
      </c>
      <c r="D2203" s="2">
        <v>42466</v>
      </c>
      <c r="E2203" s="1" t="s">
        <v>42</v>
      </c>
      <c r="F2203" t="str">
        <f>HYPERLINK("http://www.sec.gov/Archives/edgar/data/1648858/0001056404-16-004117-index.html")</f>
        <v>http://www.sec.gov/Archives/edgar/data/1648858/0001056404-16-004117-index.html</v>
      </c>
    </row>
    <row r="2204" spans="1:6" x14ac:dyDescent="0.2">
      <c r="A2204" t="s">
        <v>2006</v>
      </c>
      <c r="B2204" s="1">
        <v>1651164</v>
      </c>
      <c r="C2204" s="1">
        <v>6189</v>
      </c>
      <c r="D2204" s="2">
        <v>42466</v>
      </c>
      <c r="E2204" s="1" t="s">
        <v>42</v>
      </c>
      <c r="F2204" t="str">
        <f>HYPERLINK("http://www.sec.gov/Archives/edgar/data/1651164/0001056404-16-004121-index.html")</f>
        <v>http://www.sec.gov/Archives/edgar/data/1651164/0001056404-16-004121-index.html</v>
      </c>
    </row>
    <row r="2205" spans="1:6" x14ac:dyDescent="0.2">
      <c r="A2205" t="s">
        <v>2007</v>
      </c>
      <c r="B2205" s="1">
        <v>1656681</v>
      </c>
      <c r="C2205" s="1">
        <v>6189</v>
      </c>
      <c r="D2205" s="2">
        <v>42466</v>
      </c>
      <c r="E2205" s="1" t="s">
        <v>42</v>
      </c>
      <c r="F2205" t="str">
        <f>HYPERLINK("http://www.sec.gov/Archives/edgar/data/1656681/0001056404-16-004120-index.html")</f>
        <v>http://www.sec.gov/Archives/edgar/data/1656681/0001056404-16-004120-index.html</v>
      </c>
    </row>
    <row r="2206" spans="1:6" x14ac:dyDescent="0.2">
      <c r="A2206" t="s">
        <v>2008</v>
      </c>
      <c r="B2206" s="1">
        <v>711034</v>
      </c>
      <c r="C2206" s="1">
        <v>1000</v>
      </c>
      <c r="D2206" s="2">
        <v>42466</v>
      </c>
      <c r="E2206" s="1" t="s">
        <v>18</v>
      </c>
      <c r="F2206" t="str">
        <f>HYPERLINK("http://www.sec.gov/Archives/edgar/data/711034/0001052918-16-000922-index.html")</f>
        <v>http://www.sec.gov/Archives/edgar/data/711034/0001052918-16-000922-index.html</v>
      </c>
    </row>
    <row r="2207" spans="1:6" x14ac:dyDescent="0.2">
      <c r="A2207" t="s">
        <v>2009</v>
      </c>
      <c r="B2207" s="1">
        <v>727634</v>
      </c>
      <c r="C2207" s="1">
        <v>7372</v>
      </c>
      <c r="D2207" s="2">
        <v>42466</v>
      </c>
      <c r="E2207" s="1" t="s">
        <v>18</v>
      </c>
      <c r="F2207" t="str">
        <f>HYPERLINK("http://www.sec.gov/Archives/edgar/data/727634/0000727634-16-000040-index.html")</f>
        <v>http://www.sec.gov/Archives/edgar/data/727634/0000727634-16-000040-index.html</v>
      </c>
    </row>
    <row r="2208" spans="1:6" x14ac:dyDescent="0.2">
      <c r="A2208" t="s">
        <v>2010</v>
      </c>
      <c r="B2208" s="1">
        <v>855683</v>
      </c>
      <c r="C2208" s="1">
        <v>3842</v>
      </c>
      <c r="D2208" s="2">
        <v>42466</v>
      </c>
      <c r="E2208" s="1" t="s">
        <v>18</v>
      </c>
      <c r="F2208" t="str">
        <f>HYPERLINK("http://www.sec.gov/Archives/edgar/data/855683/0001564590-16-015942-index.html")</f>
        <v>http://www.sec.gov/Archives/edgar/data/855683/0001564590-16-015942-index.html</v>
      </c>
    </row>
    <row r="2209" spans="1:6" x14ac:dyDescent="0.2">
      <c r="A2209" t="s">
        <v>2011</v>
      </c>
      <c r="B2209" s="1">
        <v>867028</v>
      </c>
      <c r="C2209" s="1">
        <v>2844</v>
      </c>
      <c r="D2209" s="2">
        <v>42466</v>
      </c>
      <c r="E2209" s="1" t="s">
        <v>18</v>
      </c>
      <c r="F2209" t="str">
        <f>HYPERLINK("http://www.sec.gov/Archives/edgar/data/867028/0001493152-16-008681-index.html")</f>
        <v>http://www.sec.gov/Archives/edgar/data/867028/0001493152-16-008681-index.html</v>
      </c>
    </row>
    <row r="2210" spans="1:6" x14ac:dyDescent="0.2">
      <c r="A2210" t="s">
        <v>2012</v>
      </c>
      <c r="B2210" s="1">
        <v>1043894</v>
      </c>
      <c r="C2210" s="1">
        <v>3559</v>
      </c>
      <c r="D2210" s="2">
        <v>42465</v>
      </c>
      <c r="E2210" s="1" t="s">
        <v>18</v>
      </c>
      <c r="F2210" t="str">
        <f>HYPERLINK("http://www.sec.gov/Archives/edgar/data/1043894/0001099910-16-000327-index.html")</f>
        <v>http://www.sec.gov/Archives/edgar/data/1043894/0001099910-16-000327-index.html</v>
      </c>
    </row>
    <row r="2211" spans="1:6" x14ac:dyDescent="0.2">
      <c r="A2211" t="s">
        <v>2013</v>
      </c>
      <c r="B2211" s="1">
        <v>1076784</v>
      </c>
      <c r="C2211" s="1">
        <v>5731</v>
      </c>
      <c r="D2211" s="2">
        <v>42465</v>
      </c>
      <c r="E2211" s="1" t="s">
        <v>18</v>
      </c>
      <c r="F2211" t="str">
        <f>HYPERLINK("http://www.sec.gov/Archives/edgar/data/1076784/0001607062-16-000771-index.html")</f>
        <v>http://www.sec.gov/Archives/edgar/data/1076784/0001607062-16-000771-index.html</v>
      </c>
    </row>
    <row r="2212" spans="1:6" x14ac:dyDescent="0.2">
      <c r="A2212" t="s">
        <v>2014</v>
      </c>
      <c r="B2212" s="1">
        <v>1084226</v>
      </c>
      <c r="C2212" s="1">
        <v>1000</v>
      </c>
      <c r="D2212" s="2">
        <v>42465</v>
      </c>
      <c r="E2212" s="1" t="s">
        <v>18</v>
      </c>
      <c r="F2212" t="str">
        <f>HYPERLINK("http://www.sec.gov/Archives/edgar/data/1084226/0001144204-16-092695-index.html")</f>
        <v>http://www.sec.gov/Archives/edgar/data/1084226/0001144204-16-092695-index.html</v>
      </c>
    </row>
    <row r="2213" spans="1:6" x14ac:dyDescent="0.2">
      <c r="A2213" t="s">
        <v>1575</v>
      </c>
      <c r="B2213" s="1">
        <v>1304409</v>
      </c>
      <c r="C2213" s="1">
        <v>2082</v>
      </c>
      <c r="D2213" s="2">
        <v>42465</v>
      </c>
      <c r="E2213" s="1" t="s">
        <v>18</v>
      </c>
      <c r="F2213" t="str">
        <f>HYPERLINK("http://www.sec.gov/Archives/edgar/data/1304409/0001376474-16-000648-index.html")</f>
        <v>http://www.sec.gov/Archives/edgar/data/1304409/0001376474-16-000648-index.html</v>
      </c>
    </row>
    <row r="2214" spans="1:6" x14ac:dyDescent="0.2">
      <c r="A2214" t="s">
        <v>1984</v>
      </c>
      <c r="B2214" s="1">
        <v>1330849</v>
      </c>
      <c r="C2214" s="1">
        <v>1381</v>
      </c>
      <c r="D2214" s="2">
        <v>42465</v>
      </c>
      <c r="E2214" s="1" t="s">
        <v>42</v>
      </c>
      <c r="F2214" t="str">
        <f>HYPERLINK("http://www.sec.gov/Archives/edgar/data/1330849/0001330849-16-000138-index.html")</f>
        <v>http://www.sec.gov/Archives/edgar/data/1330849/0001330849-16-000138-index.html</v>
      </c>
    </row>
    <row r="2215" spans="1:6" x14ac:dyDescent="0.2">
      <c r="A2215" t="s">
        <v>2015</v>
      </c>
      <c r="B2215" s="1">
        <v>1403802</v>
      </c>
      <c r="C2215" s="1">
        <v>7389</v>
      </c>
      <c r="D2215" s="2">
        <v>42465</v>
      </c>
      <c r="E2215" s="1" t="s">
        <v>42</v>
      </c>
      <c r="F2215" t="str">
        <f>HYPERLINK("http://www.sec.gov/Archives/edgar/data/1403802/0001393905-16-000836-index.html")</f>
        <v>http://www.sec.gov/Archives/edgar/data/1403802/0001393905-16-000836-index.html</v>
      </c>
    </row>
    <row r="2216" spans="1:6" x14ac:dyDescent="0.2">
      <c r="A2216" t="s">
        <v>274</v>
      </c>
      <c r="B2216" s="1">
        <v>1425203</v>
      </c>
      <c r="C2216" s="1">
        <v>5020</v>
      </c>
      <c r="D2216" s="2">
        <v>42465</v>
      </c>
      <c r="E2216" s="1" t="s">
        <v>42</v>
      </c>
      <c r="F2216" t="str">
        <f>HYPERLINK("http://www.sec.gov/Archives/edgar/data/1425203/0001014897-16-000518-index.html")</f>
        <v>http://www.sec.gov/Archives/edgar/data/1425203/0001014897-16-000518-index.html</v>
      </c>
    </row>
    <row r="2217" spans="1:6" x14ac:dyDescent="0.2">
      <c r="A2217" t="s">
        <v>2016</v>
      </c>
      <c r="B2217" s="1">
        <v>1451654</v>
      </c>
      <c r="C2217" s="1">
        <v>2911</v>
      </c>
      <c r="D2217" s="2">
        <v>42465</v>
      </c>
      <c r="E2217" s="1" t="s">
        <v>18</v>
      </c>
      <c r="F2217" t="str">
        <f>HYPERLINK("http://www.sec.gov/Archives/edgar/data/1451654/0001493152-16-008651-index.html")</f>
        <v>http://www.sec.gov/Archives/edgar/data/1451654/0001493152-16-008651-index.html</v>
      </c>
    </row>
    <row r="2218" spans="1:6" x14ac:dyDescent="0.2">
      <c r="A2218" t="s">
        <v>2017</v>
      </c>
      <c r="B2218" s="1">
        <v>1500123</v>
      </c>
      <c r="C2218" s="1">
        <v>3843</v>
      </c>
      <c r="D2218" s="2">
        <v>42465</v>
      </c>
      <c r="E2218" s="1" t="s">
        <v>42</v>
      </c>
      <c r="F2218" t="str">
        <f>HYPERLINK("http://www.sec.gov/Archives/edgar/data/1500123/0001554795-16-000627-index.html")</f>
        <v>http://www.sec.gov/Archives/edgar/data/1500123/0001554795-16-000627-index.html</v>
      </c>
    </row>
    <row r="2219" spans="1:6" x14ac:dyDescent="0.2">
      <c r="A2219" t="s">
        <v>2018</v>
      </c>
      <c r="B2219" s="1">
        <v>1503985</v>
      </c>
      <c r="C2219" s="1">
        <v>3911</v>
      </c>
      <c r="D2219" s="2">
        <v>42465</v>
      </c>
      <c r="E2219" s="1" t="s">
        <v>18</v>
      </c>
      <c r="F2219" t="str">
        <f>HYPERLINK("http://www.sec.gov/Archives/edgar/data/1503985/0001117768-16-001056-index.html")</f>
        <v>http://www.sec.gov/Archives/edgar/data/1503985/0001117768-16-001056-index.html</v>
      </c>
    </row>
    <row r="2220" spans="1:6" x14ac:dyDescent="0.2">
      <c r="A2220" t="s">
        <v>2019</v>
      </c>
      <c r="B2220" s="1">
        <v>1528172</v>
      </c>
      <c r="C2220" s="1">
        <v>2834</v>
      </c>
      <c r="D2220" s="2">
        <v>42465</v>
      </c>
      <c r="E2220" s="1" t="s">
        <v>18</v>
      </c>
      <c r="F2220" t="str">
        <f>HYPERLINK("http://www.sec.gov/Archives/edgar/data/1528172/0001469709-16-000755-index.html")</f>
        <v>http://www.sec.gov/Archives/edgar/data/1528172/0001469709-16-000755-index.html</v>
      </c>
    </row>
    <row r="2221" spans="1:6" x14ac:dyDescent="0.2">
      <c r="A2221" t="s">
        <v>1527</v>
      </c>
      <c r="B2221" s="1">
        <v>1542335</v>
      </c>
      <c r="C2221" s="1">
        <v>3714</v>
      </c>
      <c r="D2221" s="2">
        <v>42465</v>
      </c>
      <c r="E2221" s="1" t="s">
        <v>18</v>
      </c>
      <c r="F2221" t="str">
        <f>HYPERLINK("http://www.sec.gov/Archives/edgar/data/1542335/0001477932-16-009495-index.html")</f>
        <v>http://www.sec.gov/Archives/edgar/data/1542335/0001477932-16-009495-index.html</v>
      </c>
    </row>
    <row r="2222" spans="1:6" x14ac:dyDescent="0.2">
      <c r="A2222" t="s">
        <v>2020</v>
      </c>
      <c r="B2222" s="1">
        <v>1556601</v>
      </c>
      <c r="C2222" s="1">
        <v>6189</v>
      </c>
      <c r="D2222" s="2">
        <v>42465</v>
      </c>
      <c r="E2222" s="1" t="s">
        <v>42</v>
      </c>
      <c r="F2222" t="str">
        <f>HYPERLINK("http://www.sec.gov/Archives/edgar/data/1556601/0001056404-16-004087-index.html")</f>
        <v>http://www.sec.gov/Archives/edgar/data/1556601/0001056404-16-004087-index.html</v>
      </c>
    </row>
    <row r="2223" spans="1:6" x14ac:dyDescent="0.2">
      <c r="A2223" t="s">
        <v>2021</v>
      </c>
      <c r="B2223" s="1">
        <v>1580013</v>
      </c>
      <c r="C2223" s="1">
        <v>6189</v>
      </c>
      <c r="D2223" s="2">
        <v>42465</v>
      </c>
      <c r="E2223" s="1" t="s">
        <v>42</v>
      </c>
      <c r="F2223" t="str">
        <f>HYPERLINK("http://www.sec.gov/Archives/edgar/data/1580013/0001056404-16-004089-index.html")</f>
        <v>http://www.sec.gov/Archives/edgar/data/1580013/0001056404-16-004089-index.html</v>
      </c>
    </row>
    <row r="2224" spans="1:6" x14ac:dyDescent="0.2">
      <c r="A2224" t="s">
        <v>2022</v>
      </c>
      <c r="B2224" s="1">
        <v>1585067</v>
      </c>
      <c r="C2224" s="1">
        <v>6189</v>
      </c>
      <c r="D2224" s="2">
        <v>42465</v>
      </c>
      <c r="E2224" s="1" t="s">
        <v>42</v>
      </c>
      <c r="F2224" t="str">
        <f>HYPERLINK("http://www.sec.gov/Archives/edgar/data/1585067/0001056404-16-004091-index.html")</f>
        <v>http://www.sec.gov/Archives/edgar/data/1585067/0001056404-16-004091-index.html</v>
      </c>
    </row>
    <row r="2225" spans="1:6" x14ac:dyDescent="0.2">
      <c r="A2225" t="s">
        <v>2023</v>
      </c>
      <c r="B2225" s="1">
        <v>1603578</v>
      </c>
      <c r="C2225" s="1">
        <v>6189</v>
      </c>
      <c r="D2225" s="2">
        <v>42465</v>
      </c>
      <c r="E2225" s="1" t="s">
        <v>42</v>
      </c>
      <c r="F2225" t="str">
        <f>HYPERLINK("http://www.sec.gov/Archives/edgar/data/1603578/0001056404-16-004093-index.html")</f>
        <v>http://www.sec.gov/Archives/edgar/data/1603578/0001056404-16-004093-index.html</v>
      </c>
    </row>
    <row r="2226" spans="1:6" x14ac:dyDescent="0.2">
      <c r="A2226" t="s">
        <v>2024</v>
      </c>
      <c r="B2226" s="1">
        <v>1609711</v>
      </c>
      <c r="C2226" s="1">
        <v>7373</v>
      </c>
      <c r="D2226" s="2">
        <v>42465</v>
      </c>
      <c r="E2226" s="1" t="s">
        <v>42</v>
      </c>
      <c r="F2226" t="str">
        <f>HYPERLINK("http://www.sec.gov/Archives/edgar/data/1609711/0001609711-16-000086-index.html")</f>
        <v>http://www.sec.gov/Archives/edgar/data/1609711/0001609711-16-000086-index.html</v>
      </c>
    </row>
    <row r="2227" spans="1:6" x14ac:dyDescent="0.2">
      <c r="A2227" t="s">
        <v>2025</v>
      </c>
      <c r="B2227" s="1">
        <v>1616666</v>
      </c>
      <c r="C2227" s="1">
        <v>6189</v>
      </c>
      <c r="D2227" s="2">
        <v>42465</v>
      </c>
      <c r="E2227" s="1" t="s">
        <v>42</v>
      </c>
      <c r="F2227" t="str">
        <f>HYPERLINK("http://www.sec.gov/Archives/edgar/data/1616666/0001056404-16-004095-index.html")</f>
        <v>http://www.sec.gov/Archives/edgar/data/1616666/0001056404-16-004095-index.html</v>
      </c>
    </row>
    <row r="2228" spans="1:6" x14ac:dyDescent="0.2">
      <c r="A2228" t="s">
        <v>2026</v>
      </c>
      <c r="B2228" s="1">
        <v>1622353</v>
      </c>
      <c r="C2228" s="1">
        <v>6798</v>
      </c>
      <c r="D2228" s="2">
        <v>42465</v>
      </c>
      <c r="E2228" s="1" t="s">
        <v>18</v>
      </c>
      <c r="F2228" t="str">
        <f>HYPERLINK("http://www.sec.gov/Archives/edgar/data/1622353/0001144204-16-092693-index.html")</f>
        <v>http://www.sec.gov/Archives/edgar/data/1622353/0001144204-16-092693-index.html</v>
      </c>
    </row>
    <row r="2229" spans="1:6" x14ac:dyDescent="0.2">
      <c r="A2229" t="s">
        <v>2027</v>
      </c>
      <c r="B2229" s="1">
        <v>1626941</v>
      </c>
      <c r="C2229" s="1">
        <v>6189</v>
      </c>
      <c r="D2229" s="2">
        <v>42465</v>
      </c>
      <c r="E2229" s="1" t="s">
        <v>42</v>
      </c>
      <c r="F2229" t="str">
        <f>HYPERLINK("http://www.sec.gov/Archives/edgar/data/1626941/0001056404-16-004097-index.html")</f>
        <v>http://www.sec.gov/Archives/edgar/data/1626941/0001056404-16-004097-index.html</v>
      </c>
    </row>
    <row r="2230" spans="1:6" x14ac:dyDescent="0.2">
      <c r="A2230" t="s">
        <v>2028</v>
      </c>
      <c r="B2230" s="1">
        <v>1630513</v>
      </c>
      <c r="C2230" s="1">
        <v>6189</v>
      </c>
      <c r="D2230" s="2">
        <v>42465</v>
      </c>
      <c r="E2230" s="1" t="s">
        <v>42</v>
      </c>
      <c r="F2230" t="str">
        <f>HYPERLINK("http://www.sec.gov/Archives/edgar/data/1630513/0001056404-16-004099-index.html")</f>
        <v>http://www.sec.gov/Archives/edgar/data/1630513/0001056404-16-004099-index.html</v>
      </c>
    </row>
    <row r="2231" spans="1:6" x14ac:dyDescent="0.2">
      <c r="A2231" t="s">
        <v>2029</v>
      </c>
      <c r="B2231" s="1">
        <v>813920</v>
      </c>
      <c r="C2231" s="1">
        <v>5812</v>
      </c>
      <c r="D2231" s="2">
        <v>42465</v>
      </c>
      <c r="E2231" s="1" t="s">
        <v>42</v>
      </c>
      <c r="F2231" t="str">
        <f>HYPERLINK("http://www.sec.gov/Archives/edgar/data/813920/0000813920-16-000039-index.html")</f>
        <v>http://www.sec.gov/Archives/edgar/data/813920/0000813920-16-000039-index.html</v>
      </c>
    </row>
    <row r="2232" spans="1:6" x14ac:dyDescent="0.2">
      <c r="A2232" t="s">
        <v>2030</v>
      </c>
      <c r="B2232" s="1">
        <v>830656</v>
      </c>
      <c r="C2232" s="1">
        <v>3826</v>
      </c>
      <c r="D2232" s="2">
        <v>42465</v>
      </c>
      <c r="E2232" s="1" t="s">
        <v>18</v>
      </c>
      <c r="F2232" t="str">
        <f>HYPERLINK("http://www.sec.gov/Archives/edgar/data/830656/0001493152-16-008655-index.html")</f>
        <v>http://www.sec.gov/Archives/edgar/data/830656/0001493152-16-008655-index.html</v>
      </c>
    </row>
    <row r="2233" spans="1:6" x14ac:dyDescent="0.2">
      <c r="A2233" t="s">
        <v>2031</v>
      </c>
      <c r="B2233" s="1">
        <v>1009891</v>
      </c>
      <c r="C2233" s="1">
        <v>3728</v>
      </c>
      <c r="D2233" s="2">
        <v>42464</v>
      </c>
      <c r="E2233" s="1" t="s">
        <v>18</v>
      </c>
      <c r="F2233" t="str">
        <f>HYPERLINK("http://www.sec.gov/Archives/edgar/data/1009891/0001193805-16-003011-index.html")</f>
        <v>http://www.sec.gov/Archives/edgar/data/1009891/0001193805-16-003011-index.html</v>
      </c>
    </row>
    <row r="2234" spans="1:6" x14ac:dyDescent="0.2">
      <c r="A2234" t="s">
        <v>2032</v>
      </c>
      <c r="B2234" s="1">
        <v>1076744</v>
      </c>
      <c r="C2234" s="1">
        <v>3711</v>
      </c>
      <c r="D2234" s="2">
        <v>42464</v>
      </c>
      <c r="E2234" s="1" t="s">
        <v>18</v>
      </c>
      <c r="F2234" t="str">
        <f>HYPERLINK("http://www.sec.gov/Archives/edgar/data/1076744/0001096906-16-001525-index.html")</f>
        <v>http://www.sec.gov/Archives/edgar/data/1076744/0001096906-16-001525-index.html</v>
      </c>
    </row>
    <row r="2235" spans="1:6" x14ac:dyDescent="0.2">
      <c r="A2235" t="s">
        <v>2033</v>
      </c>
      <c r="B2235" s="1">
        <v>1084752</v>
      </c>
      <c r="C2235" s="1">
        <v>4813</v>
      </c>
      <c r="D2235" s="2">
        <v>42464</v>
      </c>
      <c r="E2235" s="1" t="s">
        <v>18</v>
      </c>
      <c r="F2235" t="str">
        <f>HYPERLINK("http://www.sec.gov/Archives/edgar/data/1084752/0001144204-16-092554-index.html")</f>
        <v>http://www.sec.gov/Archives/edgar/data/1084752/0001144204-16-092554-index.html</v>
      </c>
    </row>
    <row r="2236" spans="1:6" x14ac:dyDescent="0.2">
      <c r="A2236" t="s">
        <v>2034</v>
      </c>
      <c r="B2236" s="1">
        <v>1299969</v>
      </c>
      <c r="C2236" s="1">
        <v>1531</v>
      </c>
      <c r="D2236" s="2">
        <v>42464</v>
      </c>
      <c r="E2236" s="1" t="s">
        <v>18</v>
      </c>
      <c r="F2236" t="str">
        <f>HYPERLINK("http://www.sec.gov/Archives/edgar/data/1299969/0001193125-16-528197-index.html")</f>
        <v>http://www.sec.gov/Archives/edgar/data/1299969/0001193125-16-528197-index.html</v>
      </c>
    </row>
    <row r="2237" spans="1:6" x14ac:dyDescent="0.2">
      <c r="A2237" t="s">
        <v>2035</v>
      </c>
      <c r="B2237" s="1">
        <v>1356093</v>
      </c>
      <c r="C2237" s="1">
        <v>7373</v>
      </c>
      <c r="D2237" s="2">
        <v>42464</v>
      </c>
      <c r="E2237" s="1" t="s">
        <v>18</v>
      </c>
      <c r="F2237" t="str">
        <f>HYPERLINK("http://www.sec.gov/Archives/edgar/data/1356093/0001213900-16-012229-index.html")</f>
        <v>http://www.sec.gov/Archives/edgar/data/1356093/0001213900-16-012229-index.html</v>
      </c>
    </row>
    <row r="2238" spans="1:6" x14ac:dyDescent="0.2">
      <c r="A2238" t="s">
        <v>2036</v>
      </c>
      <c r="B2238" s="1">
        <v>1361540</v>
      </c>
      <c r="C2238" s="1">
        <v>7389</v>
      </c>
      <c r="D2238" s="2">
        <v>42464</v>
      </c>
      <c r="E2238" s="1" t="s">
        <v>18</v>
      </c>
      <c r="F2238" t="str">
        <f>HYPERLINK("http://www.sec.gov/Archives/edgar/data/1361540/0001607062-16-000769-index.html")</f>
        <v>http://www.sec.gov/Archives/edgar/data/1361540/0001607062-16-000769-index.html</v>
      </c>
    </row>
    <row r="2239" spans="1:6" x14ac:dyDescent="0.2">
      <c r="A2239" t="s">
        <v>2037</v>
      </c>
      <c r="B2239" s="1">
        <v>1407038</v>
      </c>
      <c r="C2239" s="1">
        <v>2835</v>
      </c>
      <c r="D2239" s="2">
        <v>42464</v>
      </c>
      <c r="E2239" s="1" t="s">
        <v>18</v>
      </c>
      <c r="F2239" t="str">
        <f>HYPERLINK("http://www.sec.gov/Archives/edgar/data/1407038/0001193125-16-529513-index.html")</f>
        <v>http://www.sec.gov/Archives/edgar/data/1407038/0001193125-16-529513-index.html</v>
      </c>
    </row>
    <row r="2240" spans="1:6" x14ac:dyDescent="0.2">
      <c r="A2240" t="s">
        <v>2038</v>
      </c>
      <c r="B2240" s="1">
        <v>1419793</v>
      </c>
      <c r="C2240" s="1">
        <v>2860</v>
      </c>
      <c r="D2240" s="2">
        <v>42464</v>
      </c>
      <c r="E2240" s="1" t="s">
        <v>18</v>
      </c>
      <c r="F2240" t="str">
        <f>HYPERLINK("http://www.sec.gov/Archives/edgar/data/1419793/0001013762-16-001450-index.html")</f>
        <v>http://www.sec.gov/Archives/edgar/data/1419793/0001013762-16-001450-index.html</v>
      </c>
    </row>
    <row r="2241" spans="1:6" x14ac:dyDescent="0.2">
      <c r="A2241" t="s">
        <v>2039</v>
      </c>
      <c r="B2241" s="1">
        <v>1419852</v>
      </c>
      <c r="C2241" s="1">
        <v>5712</v>
      </c>
      <c r="D2241" s="2">
        <v>42464</v>
      </c>
      <c r="E2241" s="1" t="s">
        <v>18</v>
      </c>
      <c r="F2241" t="str">
        <f>HYPERLINK("http://www.sec.gov/Archives/edgar/data/1419852/0001419852-16-000017-index.html")</f>
        <v>http://www.sec.gov/Archives/edgar/data/1419852/0001419852-16-000017-index.html</v>
      </c>
    </row>
    <row r="2242" spans="1:6" x14ac:dyDescent="0.2">
      <c r="A2242" t="s">
        <v>1246</v>
      </c>
      <c r="B2242" s="1">
        <v>1428765</v>
      </c>
      <c r="C2242" s="1">
        <v>3089</v>
      </c>
      <c r="D2242" s="2">
        <v>42464</v>
      </c>
      <c r="E2242" s="1" t="s">
        <v>18</v>
      </c>
      <c r="F2242" t="str">
        <f>HYPERLINK("http://www.sec.gov/Archives/edgar/data/1428765/0001493152-16-008630-index.html")</f>
        <v>http://www.sec.gov/Archives/edgar/data/1428765/0001493152-16-008630-index.html</v>
      </c>
    </row>
    <row r="2243" spans="1:6" x14ac:dyDescent="0.2">
      <c r="A2243" t="s">
        <v>2040</v>
      </c>
      <c r="B2243" s="1">
        <v>1468780</v>
      </c>
      <c r="C2243" s="1">
        <v>3990</v>
      </c>
      <c r="D2243" s="2">
        <v>42464</v>
      </c>
      <c r="E2243" s="1" t="s">
        <v>18</v>
      </c>
      <c r="F2243" t="str">
        <f>HYPERLINK("http://www.sec.gov/Archives/edgar/data/1468780/0001214659-16-010631-index.html")</f>
        <v>http://www.sec.gov/Archives/edgar/data/1468780/0001214659-16-010631-index.html</v>
      </c>
    </row>
    <row r="2244" spans="1:6" x14ac:dyDescent="0.2">
      <c r="A2244" t="s">
        <v>2041</v>
      </c>
      <c r="B2244" s="1">
        <v>1553817</v>
      </c>
      <c r="C2244" s="1">
        <v>6189</v>
      </c>
      <c r="D2244" s="2">
        <v>42464</v>
      </c>
      <c r="E2244" s="1" t="s">
        <v>42</v>
      </c>
      <c r="F2244" t="str">
        <f>HYPERLINK("http://www.sec.gov/Archives/edgar/data/1553817/0001056404-16-004085-index.html")</f>
        <v>http://www.sec.gov/Archives/edgar/data/1553817/0001056404-16-004085-index.html</v>
      </c>
    </row>
    <row r="2245" spans="1:6" x14ac:dyDescent="0.2">
      <c r="A2245" t="s">
        <v>2042</v>
      </c>
      <c r="B2245" s="1">
        <v>1595726</v>
      </c>
      <c r="C2245" s="1">
        <v>6189</v>
      </c>
      <c r="D2245" s="2">
        <v>42464</v>
      </c>
      <c r="E2245" s="1" t="s">
        <v>42</v>
      </c>
      <c r="F2245" t="str">
        <f>HYPERLINK("http://www.sec.gov/Archives/edgar/data/1595726/0001056404-16-004083-index.html")</f>
        <v>http://www.sec.gov/Archives/edgar/data/1595726/0001056404-16-004083-index.html</v>
      </c>
    </row>
    <row r="2246" spans="1:6" x14ac:dyDescent="0.2">
      <c r="A2246" t="s">
        <v>2043</v>
      </c>
      <c r="B2246" s="1">
        <v>790715</v>
      </c>
      <c r="C2246" s="1">
        <v>3674</v>
      </c>
      <c r="D2246" s="2">
        <v>42464</v>
      </c>
      <c r="E2246" s="1" t="s">
        <v>18</v>
      </c>
      <c r="F2246" t="str">
        <f>HYPERLINK("http://www.sec.gov/Archives/edgar/data/790715/0001437749-16-028944-index.html")</f>
        <v>http://www.sec.gov/Archives/edgar/data/790715/0001437749-16-028944-index.html</v>
      </c>
    </row>
    <row r="2247" spans="1:6" x14ac:dyDescent="0.2">
      <c r="A2247" t="s">
        <v>2044</v>
      </c>
      <c r="B2247" s="1">
        <v>857737</v>
      </c>
      <c r="C2247" s="1">
        <v>3140</v>
      </c>
      <c r="D2247" s="2">
        <v>42464</v>
      </c>
      <c r="E2247" s="1" t="s">
        <v>42</v>
      </c>
      <c r="F2247" t="str">
        <f>HYPERLINK("http://www.sec.gov/Archives/edgar/data/857737/0001564590-16-015854-index.html")</f>
        <v>http://www.sec.gov/Archives/edgar/data/857737/0001564590-16-015854-index.html</v>
      </c>
    </row>
    <row r="2248" spans="1:6" x14ac:dyDescent="0.2">
      <c r="A2248" t="s">
        <v>2045</v>
      </c>
      <c r="B2248" s="1">
        <v>862861</v>
      </c>
      <c r="C2248" s="1">
        <v>5700</v>
      </c>
      <c r="D2248" s="2">
        <v>42464</v>
      </c>
      <c r="E2248" s="1" t="s">
        <v>18</v>
      </c>
      <c r="F2248" t="str">
        <f>HYPERLINK("http://www.sec.gov/Archives/edgar/data/862861/0000862861-16-000058-index.html")</f>
        <v>http://www.sec.gov/Archives/edgar/data/862861/0000862861-16-000058-index.html</v>
      </c>
    </row>
    <row r="2249" spans="1:6" x14ac:dyDescent="0.2">
      <c r="A2249" t="s">
        <v>2046</v>
      </c>
      <c r="B2249" s="1">
        <v>890447</v>
      </c>
      <c r="C2249" s="1">
        <v>2911</v>
      </c>
      <c r="D2249" s="2">
        <v>42464</v>
      </c>
      <c r="E2249" s="1" t="s">
        <v>18</v>
      </c>
      <c r="F2249" t="str">
        <f>HYPERLINK("http://www.sec.gov/Archives/edgar/data/890447/0001628280-16-014012-index.html")</f>
        <v>http://www.sec.gov/Archives/edgar/data/890447/0001628280-16-014012-index.html</v>
      </c>
    </row>
    <row r="2250" spans="1:6" x14ac:dyDescent="0.2">
      <c r="A2250" t="s">
        <v>2047</v>
      </c>
      <c r="B2250" s="1">
        <v>895447</v>
      </c>
      <c r="C2250" s="1">
        <v>5661</v>
      </c>
      <c r="D2250" s="2">
        <v>42464</v>
      </c>
      <c r="E2250" s="1" t="s">
        <v>18</v>
      </c>
      <c r="F2250" t="str">
        <f>HYPERLINK("http://www.sec.gov/Archives/edgar/data/895447/0001174947-16-002383-index.html")</f>
        <v>http://www.sec.gov/Archives/edgar/data/895447/0001174947-16-002383-index.html</v>
      </c>
    </row>
    <row r="2251" spans="1:6" x14ac:dyDescent="0.2">
      <c r="A2251" t="s">
        <v>2048</v>
      </c>
      <c r="B2251" s="1">
        <v>931799</v>
      </c>
      <c r="C2251" s="1">
        <v>2890</v>
      </c>
      <c r="D2251" s="2">
        <v>42464</v>
      </c>
      <c r="E2251" s="1" t="s">
        <v>18</v>
      </c>
      <c r="F2251" t="str">
        <f>HYPERLINK("http://www.sec.gov/Archives/edgar/data/931799/0001615774-16-004773-index.html")</f>
        <v>http://www.sec.gov/Archives/edgar/data/931799/0001615774-16-004773-index.html</v>
      </c>
    </row>
    <row r="2252" spans="1:6" x14ac:dyDescent="0.2">
      <c r="A2252" t="s">
        <v>2049</v>
      </c>
      <c r="B2252" s="1">
        <v>1089598</v>
      </c>
      <c r="C2252" s="1">
        <v>6770</v>
      </c>
      <c r="D2252" s="2">
        <v>42461</v>
      </c>
      <c r="E2252" s="1" t="s">
        <v>18</v>
      </c>
      <c r="F2252" t="str">
        <f>HYPERLINK("http://www.sec.gov/Archives/edgar/data/1089598/0001014897-16-000503-index.html")</f>
        <v>http://www.sec.gov/Archives/edgar/data/1089598/0001014897-16-000503-index.html</v>
      </c>
    </row>
    <row r="2253" spans="1:6" x14ac:dyDescent="0.2">
      <c r="A2253" t="s">
        <v>2050</v>
      </c>
      <c r="B2253" s="1">
        <v>1094814</v>
      </c>
      <c r="C2253" s="1">
        <v>8742</v>
      </c>
      <c r="D2253" s="2">
        <v>42461</v>
      </c>
      <c r="E2253" s="1" t="s">
        <v>18</v>
      </c>
      <c r="F2253" t="str">
        <f>HYPERLINK("http://www.sec.gov/Archives/edgar/data/1094814/0001144204-16-092203-index.html")</f>
        <v>http://www.sec.gov/Archives/edgar/data/1094814/0001144204-16-092203-index.html</v>
      </c>
    </row>
    <row r="2254" spans="1:6" x14ac:dyDescent="0.2">
      <c r="A2254" t="s">
        <v>2051</v>
      </c>
      <c r="B2254" s="1">
        <v>1142801</v>
      </c>
      <c r="C2254" s="1">
        <v>4955</v>
      </c>
      <c r="D2254" s="2">
        <v>42461</v>
      </c>
      <c r="E2254" s="1" t="s">
        <v>18</v>
      </c>
      <c r="F2254" t="str">
        <f>HYPERLINK("http://www.sec.gov/Archives/edgar/data/1142801/0001354488-16-006857-index.html")</f>
        <v>http://www.sec.gov/Archives/edgar/data/1142801/0001354488-16-006857-index.html</v>
      </c>
    </row>
    <row r="2255" spans="1:6" x14ac:dyDescent="0.2">
      <c r="A2255" t="s">
        <v>2052</v>
      </c>
      <c r="B2255" s="1">
        <v>1290658</v>
      </c>
      <c r="C2255" s="1">
        <v>5122</v>
      </c>
      <c r="D2255" s="2">
        <v>42461</v>
      </c>
      <c r="E2255" s="1" t="s">
        <v>18</v>
      </c>
      <c r="F2255" t="str">
        <f>HYPERLINK("http://www.sec.gov/Archives/edgar/data/1290658/0001014897-16-000509-index.html")</f>
        <v>http://www.sec.gov/Archives/edgar/data/1290658/0001014897-16-000509-index.html</v>
      </c>
    </row>
    <row r="2256" spans="1:6" x14ac:dyDescent="0.2">
      <c r="A2256" t="s">
        <v>2053</v>
      </c>
      <c r="B2256" s="1">
        <v>1396536</v>
      </c>
      <c r="C2256" s="1">
        <v>7372</v>
      </c>
      <c r="D2256" s="2">
        <v>42461</v>
      </c>
      <c r="E2256" s="1" t="s">
        <v>18</v>
      </c>
      <c r="F2256" t="str">
        <f>HYPERLINK("http://www.sec.gov/Archives/edgar/data/1396536/0001553350-16-001818-index.html")</f>
        <v>http://www.sec.gov/Archives/edgar/data/1396536/0001553350-16-001818-index.html</v>
      </c>
    </row>
    <row r="2257" spans="1:6" x14ac:dyDescent="0.2">
      <c r="A2257" t="s">
        <v>2054</v>
      </c>
      <c r="B2257" s="1">
        <v>1425565</v>
      </c>
      <c r="C2257" s="1">
        <v>1700</v>
      </c>
      <c r="D2257" s="2">
        <v>42461</v>
      </c>
      <c r="E2257" s="1" t="s">
        <v>18</v>
      </c>
      <c r="F2257" t="str">
        <f>HYPERLINK("http://www.sec.gov/Archives/edgar/data/1425565/0001571049-16-013587-index.html")</f>
        <v>http://www.sec.gov/Archives/edgar/data/1425565/0001571049-16-013587-index.html</v>
      </c>
    </row>
    <row r="2258" spans="1:6" x14ac:dyDescent="0.2">
      <c r="A2258" t="s">
        <v>2055</v>
      </c>
      <c r="B2258" s="1">
        <v>1490636</v>
      </c>
      <c r="C2258" s="1">
        <v>5600</v>
      </c>
      <c r="D2258" s="2">
        <v>42461</v>
      </c>
      <c r="E2258" s="1" t="s">
        <v>18</v>
      </c>
      <c r="F2258" t="str">
        <f>HYPERLINK("http://www.sec.gov/Archives/edgar/data/1490636/0001193125-16-527956-index.html")</f>
        <v>http://www.sec.gov/Archives/edgar/data/1490636/0001193125-16-527956-index.html</v>
      </c>
    </row>
    <row r="2259" spans="1:6" x14ac:dyDescent="0.2">
      <c r="A2259" t="s">
        <v>2056</v>
      </c>
      <c r="B2259" s="1">
        <v>1515115</v>
      </c>
      <c r="C2259" s="1">
        <v>7372</v>
      </c>
      <c r="D2259" s="2">
        <v>42461</v>
      </c>
      <c r="E2259" s="1" t="s">
        <v>18</v>
      </c>
      <c r="F2259" t="str">
        <f>HYPERLINK("http://www.sec.gov/Archives/edgar/data/1515115/0001144204-16-092295-index.html")</f>
        <v>http://www.sec.gov/Archives/edgar/data/1515115/0001144204-16-092295-index.html</v>
      </c>
    </row>
    <row r="2260" spans="1:6" x14ac:dyDescent="0.2">
      <c r="A2260" t="s">
        <v>2057</v>
      </c>
      <c r="B2260" s="1">
        <v>1548309</v>
      </c>
      <c r="C2260" s="1">
        <v>5311</v>
      </c>
      <c r="D2260" s="2">
        <v>42461</v>
      </c>
      <c r="E2260" s="1" t="s">
        <v>18</v>
      </c>
      <c r="F2260" t="str">
        <f>HYPERLINK("http://www.sec.gov/Archives/edgar/data/1548309/0001548309-16-000077-index.html")</f>
        <v>http://www.sec.gov/Archives/edgar/data/1548309/0001548309-16-000077-index.html</v>
      </c>
    </row>
    <row r="2261" spans="1:6" x14ac:dyDescent="0.2">
      <c r="A2261" t="s">
        <v>2058</v>
      </c>
      <c r="B2261" s="1">
        <v>1559157</v>
      </c>
      <c r="C2261" s="1">
        <v>5331</v>
      </c>
      <c r="D2261" s="2">
        <v>42461</v>
      </c>
      <c r="E2261" s="1" t="s">
        <v>18</v>
      </c>
      <c r="F2261" t="str">
        <f>HYPERLINK("http://www.sec.gov/Archives/edgar/data/1559157/0001493152-16-008615-index.html")</f>
        <v>http://www.sec.gov/Archives/edgar/data/1559157/0001493152-16-008615-index.html</v>
      </c>
    </row>
    <row r="2262" spans="1:6" x14ac:dyDescent="0.2">
      <c r="A2262" t="s">
        <v>2059</v>
      </c>
      <c r="B2262" s="1">
        <v>1561951</v>
      </c>
      <c r="C2262" s="1">
        <v>5140</v>
      </c>
      <c r="D2262" s="2">
        <v>42461</v>
      </c>
      <c r="E2262" s="1" t="s">
        <v>18</v>
      </c>
      <c r="F2262" t="str">
        <f>HYPERLINK("http://www.sec.gov/Archives/edgar/data/1561951/0001193125-16-528078-index.html")</f>
        <v>http://www.sec.gov/Archives/edgar/data/1561951/0001193125-16-528078-index.html</v>
      </c>
    </row>
    <row r="2263" spans="1:6" x14ac:dyDescent="0.2">
      <c r="A2263" t="s">
        <v>2060</v>
      </c>
      <c r="B2263" s="1">
        <v>1612720</v>
      </c>
      <c r="C2263" s="1">
        <v>6770</v>
      </c>
      <c r="D2263" s="2">
        <v>42461</v>
      </c>
      <c r="E2263" s="1" t="s">
        <v>18</v>
      </c>
      <c r="F2263" t="str">
        <f>HYPERLINK("http://www.sec.gov/Archives/edgar/data/1612720/0001213900-16-012174-index.html")</f>
        <v>http://www.sec.gov/Archives/edgar/data/1612720/0001213900-16-012174-index.html</v>
      </c>
    </row>
    <row r="2264" spans="1:6" x14ac:dyDescent="0.2">
      <c r="A2264" t="s">
        <v>2061</v>
      </c>
      <c r="B2264" s="1">
        <v>1634997</v>
      </c>
      <c r="C2264" s="1">
        <v>4911</v>
      </c>
      <c r="D2264" s="2">
        <v>42461</v>
      </c>
      <c r="E2264" s="1" t="s">
        <v>18</v>
      </c>
      <c r="F2264" t="str">
        <f>HYPERLINK("http://www.sec.gov/Archives/edgar/data/1634997/0001564590-16-015808-index.html")</f>
        <v>http://www.sec.gov/Archives/edgar/data/1634997/0001564590-16-015808-index.html</v>
      </c>
    </row>
    <row r="2265" spans="1:6" x14ac:dyDescent="0.2">
      <c r="A2265" t="s">
        <v>2062</v>
      </c>
      <c r="B2265" s="1">
        <v>24104</v>
      </c>
      <c r="C2265" s="1">
        <v>3270</v>
      </c>
      <c r="D2265" s="2">
        <v>42461</v>
      </c>
      <c r="E2265" s="1" t="s">
        <v>18</v>
      </c>
      <c r="F2265" t="str">
        <f>HYPERLINK("http://www.sec.gov/Archives/edgar/data/24104/0001558370-16-004498-index.html")</f>
        <v>http://www.sec.gov/Archives/edgar/data/24104/0001558370-16-004498-index.html</v>
      </c>
    </row>
    <row r="2266" spans="1:6" x14ac:dyDescent="0.2">
      <c r="A2266" t="s">
        <v>2063</v>
      </c>
      <c r="B2266" s="1">
        <v>31235</v>
      </c>
      <c r="C2266" s="1">
        <v>3861</v>
      </c>
      <c r="D2266" s="2">
        <v>42461</v>
      </c>
      <c r="E2266" s="1" t="s">
        <v>42</v>
      </c>
      <c r="F2266" t="str">
        <f>HYPERLINK("http://www.sec.gov/Archives/edgar/data/31235/0001193125-16-527096-index.html")</f>
        <v>http://www.sec.gov/Archives/edgar/data/31235/0001193125-16-527096-index.html</v>
      </c>
    </row>
    <row r="2267" spans="1:6" x14ac:dyDescent="0.2">
      <c r="A2267" t="s">
        <v>2064</v>
      </c>
      <c r="B2267" s="1">
        <v>314237</v>
      </c>
      <c r="C2267" s="1">
        <v>6500</v>
      </c>
      <c r="D2267" s="2">
        <v>42461</v>
      </c>
      <c r="E2267" s="1" t="s">
        <v>18</v>
      </c>
      <c r="F2267" t="str">
        <f>HYPERLINK("http://www.sec.gov/Archives/edgar/data/314237/0001376474-16-000640-index.html")</f>
        <v>http://www.sec.gov/Archives/edgar/data/314237/0001376474-16-000640-index.html</v>
      </c>
    </row>
    <row r="2268" spans="1:6" x14ac:dyDescent="0.2">
      <c r="A2268" t="s">
        <v>2065</v>
      </c>
      <c r="B2268" s="1">
        <v>355573</v>
      </c>
      <c r="C2268" s="1">
        <v>6500</v>
      </c>
      <c r="D2268" s="2">
        <v>42461</v>
      </c>
      <c r="E2268" s="1" t="s">
        <v>18</v>
      </c>
      <c r="F2268" t="str">
        <f>HYPERLINK("http://www.sec.gov/Archives/edgar/data/355573/0001376474-16-000641-index.html")</f>
        <v>http://www.sec.gov/Archives/edgar/data/355573/0001376474-16-000641-index.html</v>
      </c>
    </row>
    <row r="2269" spans="1:6" x14ac:dyDescent="0.2">
      <c r="A2269" t="s">
        <v>2066</v>
      </c>
      <c r="B2269" s="1">
        <v>730349</v>
      </c>
      <c r="C2269" s="1">
        <v>2024</v>
      </c>
      <c r="D2269" s="2">
        <v>42461</v>
      </c>
      <c r="E2269" s="1" t="s">
        <v>18</v>
      </c>
      <c r="F2269" t="str">
        <f>HYPERLINK("http://www.sec.gov/Archives/edgar/data/730349/0001493152-16-008616-index.html")</f>
        <v>http://www.sec.gov/Archives/edgar/data/730349/0001493152-16-008616-index.html</v>
      </c>
    </row>
    <row r="2270" spans="1:6" x14ac:dyDescent="0.2">
      <c r="A2270" t="s">
        <v>2067</v>
      </c>
      <c r="B2270" s="1">
        <v>799288</v>
      </c>
      <c r="C2270" s="1">
        <v>5651</v>
      </c>
      <c r="D2270" s="2">
        <v>42461</v>
      </c>
      <c r="E2270" s="1" t="s">
        <v>18</v>
      </c>
      <c r="F2270" t="str">
        <f>HYPERLINK("http://www.sec.gov/Archives/edgar/data/799288/0000799288-16-000122-index.html")</f>
        <v>http://www.sec.gov/Archives/edgar/data/799288/0000799288-16-000122-index.html</v>
      </c>
    </row>
    <row r="2271" spans="1:6" x14ac:dyDescent="0.2">
      <c r="A2271" t="s">
        <v>2068</v>
      </c>
      <c r="B2271" s="1">
        <v>824416</v>
      </c>
      <c r="C2271" s="1">
        <v>5190</v>
      </c>
      <c r="D2271" s="2">
        <v>42461</v>
      </c>
      <c r="E2271" s="1" t="s">
        <v>18</v>
      </c>
      <c r="F2271" t="str">
        <f>HYPERLINK("http://www.sec.gov/Archives/edgar/data/824416/0001213900-16-012189-index.html")</f>
        <v>http://www.sec.gov/Archives/edgar/data/824416/0001213900-16-012189-index.html</v>
      </c>
    </row>
    <row r="2272" spans="1:6" x14ac:dyDescent="0.2">
      <c r="A2272" t="s">
        <v>2069</v>
      </c>
      <c r="B2272" s="1">
        <v>870826</v>
      </c>
      <c r="C2272" s="1">
        <v>5961</v>
      </c>
      <c r="D2272" s="2">
        <v>42461</v>
      </c>
      <c r="E2272" s="1" t="s">
        <v>18</v>
      </c>
      <c r="F2272" t="str">
        <f>HYPERLINK("http://www.sec.gov/Archives/edgar/data/870826/0000870826-16-000013-index.html")</f>
        <v>http://www.sec.gov/Archives/edgar/data/870826/0000870826-16-000013-index.html</v>
      </c>
    </row>
    <row r="2273" spans="1:6" x14ac:dyDescent="0.2">
      <c r="A2273" t="s">
        <v>2070</v>
      </c>
      <c r="B2273" s="1">
        <v>879911</v>
      </c>
      <c r="C2273" s="1">
        <v>3812</v>
      </c>
      <c r="D2273" s="2">
        <v>42461</v>
      </c>
      <c r="E2273" s="1" t="s">
        <v>42</v>
      </c>
      <c r="F2273" t="str">
        <f>HYPERLINK("http://www.sec.gov/Archives/edgar/data/879911/0001144204-16-092235-index.html")</f>
        <v>http://www.sec.gov/Archives/edgar/data/879911/0001144204-16-092235-index.html</v>
      </c>
    </row>
    <row r="2274" spans="1:6" x14ac:dyDescent="0.2">
      <c r="A2274" t="s">
        <v>2071</v>
      </c>
      <c r="B2274" s="1">
        <v>937098</v>
      </c>
      <c r="C2274" s="1">
        <v>7389</v>
      </c>
      <c r="D2274" s="2">
        <v>42461</v>
      </c>
      <c r="E2274" s="1" t="s">
        <v>18</v>
      </c>
      <c r="F2274" t="str">
        <f>HYPERLINK("http://www.sec.gov/Archives/edgar/data/937098/0000937098-16-000114-index.html")</f>
        <v>http://www.sec.gov/Archives/edgar/data/937098/0000937098-16-000114-index.html</v>
      </c>
    </row>
    <row r="2275" spans="1:6" x14ac:dyDescent="0.2">
      <c r="A2275" t="s">
        <v>2072</v>
      </c>
      <c r="B2275" s="1">
        <v>95047</v>
      </c>
      <c r="C2275" s="1">
        <v>2451</v>
      </c>
      <c r="D2275" s="2">
        <v>42461</v>
      </c>
      <c r="E2275" s="1" t="s">
        <v>18</v>
      </c>
      <c r="F2275" t="str">
        <f>HYPERLINK("http://www.sec.gov/Archives/edgar/data/95047/0001193125-16-527230-index.html")</f>
        <v>http://www.sec.gov/Archives/edgar/data/95047/0001193125-16-527230-index.html</v>
      </c>
    </row>
    <row r="2276" spans="1:6" x14ac:dyDescent="0.2">
      <c r="A2276" t="s">
        <v>2073</v>
      </c>
      <c r="B2276" s="1">
        <v>1006045</v>
      </c>
      <c r="C2276" s="1">
        <v>3845</v>
      </c>
      <c r="D2276" s="2">
        <v>42460</v>
      </c>
      <c r="E2276" s="1" t="s">
        <v>18</v>
      </c>
      <c r="F2276" t="str">
        <f>HYPERLINK("http://www.sec.gov/Archives/edgar/data/1006045/0001564590-16-015763-index.html")</f>
        <v>http://www.sec.gov/Archives/edgar/data/1006045/0001564590-16-015763-index.html</v>
      </c>
    </row>
    <row r="2277" spans="1:6" x14ac:dyDescent="0.2">
      <c r="A2277" t="s">
        <v>2074</v>
      </c>
      <c r="B2277" s="1">
        <v>1036044</v>
      </c>
      <c r="C2277" s="1">
        <v>3577</v>
      </c>
      <c r="D2277" s="2">
        <v>42460</v>
      </c>
      <c r="E2277" s="1" t="s">
        <v>18</v>
      </c>
      <c r="F2277" t="str">
        <f>HYPERLINK("http://www.sec.gov/Archives/edgar/data/1036044/0001564590-16-015693-index.html")</f>
        <v>http://www.sec.gov/Archives/edgar/data/1036044/0001564590-16-015693-index.html</v>
      </c>
    </row>
    <row r="2278" spans="1:6" x14ac:dyDescent="0.2">
      <c r="A2278" t="s">
        <v>2075</v>
      </c>
      <c r="B2278" s="1">
        <v>1098146</v>
      </c>
      <c r="C2278" s="1">
        <v>6021</v>
      </c>
      <c r="D2278" s="2">
        <v>42460</v>
      </c>
      <c r="E2278" s="1" t="s">
        <v>18</v>
      </c>
      <c r="F2278" t="str">
        <f>HYPERLINK("http://www.sec.gov/Archives/edgar/data/1098146/0001437749-16-028715-index.html")</f>
        <v>http://www.sec.gov/Archives/edgar/data/1098146/0001437749-16-028715-index.html</v>
      </c>
    </row>
    <row r="2279" spans="1:6" x14ac:dyDescent="0.2">
      <c r="A2279" t="s">
        <v>2076</v>
      </c>
      <c r="B2279" s="1">
        <v>1100270</v>
      </c>
      <c r="C2279" s="1">
        <v>5400</v>
      </c>
      <c r="D2279" s="2">
        <v>42460</v>
      </c>
      <c r="E2279" s="1" t="s">
        <v>18</v>
      </c>
      <c r="F2279" t="str">
        <f>HYPERLINK("http://www.sec.gov/Archives/edgar/data/1100270/0001206774-16-005268-index.html")</f>
        <v>http://www.sec.gov/Archives/edgar/data/1100270/0001206774-16-005268-index.html</v>
      </c>
    </row>
    <row r="2280" spans="1:6" x14ac:dyDescent="0.2">
      <c r="A2280" t="s">
        <v>1585</v>
      </c>
      <c r="B2280" s="1">
        <v>1106838</v>
      </c>
      <c r="C2280" s="1">
        <v>5812</v>
      </c>
      <c r="D2280" s="2">
        <v>42460</v>
      </c>
      <c r="E2280" s="1" t="s">
        <v>18</v>
      </c>
      <c r="F2280" t="str">
        <f>HYPERLINK("http://www.sec.gov/Archives/edgar/data/1106838/0001493152-16-008494-index.html")</f>
        <v>http://www.sec.gov/Archives/edgar/data/1106838/0001493152-16-008494-index.html</v>
      </c>
    </row>
    <row r="2281" spans="1:6" x14ac:dyDescent="0.2">
      <c r="A2281" t="s">
        <v>2077</v>
      </c>
      <c r="B2281" s="1">
        <v>1107280</v>
      </c>
      <c r="C2281" s="1">
        <v>7389</v>
      </c>
      <c r="D2281" s="2">
        <v>42460</v>
      </c>
      <c r="E2281" s="1" t="s">
        <v>18</v>
      </c>
      <c r="F2281" t="str">
        <f>HYPERLINK("http://www.sec.gov/Archives/edgar/data/1107280/0001575872-16-000314-index.html")</f>
        <v>http://www.sec.gov/Archives/edgar/data/1107280/0001575872-16-000314-index.html</v>
      </c>
    </row>
    <row r="2282" spans="1:6" x14ac:dyDescent="0.2">
      <c r="A2282" t="s">
        <v>2078</v>
      </c>
      <c r="B2282" s="1">
        <v>1168663</v>
      </c>
      <c r="C2282" s="1">
        <v>3751</v>
      </c>
      <c r="D2282" s="2">
        <v>42460</v>
      </c>
      <c r="E2282" s="1" t="s">
        <v>18</v>
      </c>
      <c r="F2282" t="str">
        <f>HYPERLINK("http://www.sec.gov/Archives/edgar/data/1168663/0001354488-16-006842-index.html")</f>
        <v>http://www.sec.gov/Archives/edgar/data/1168663/0001354488-16-006842-index.html</v>
      </c>
    </row>
    <row r="2283" spans="1:6" x14ac:dyDescent="0.2">
      <c r="A2283" t="s">
        <v>2079</v>
      </c>
      <c r="B2283" s="1">
        <v>1271075</v>
      </c>
      <c r="C2283" s="1">
        <v>7200</v>
      </c>
      <c r="D2283" s="2">
        <v>42460</v>
      </c>
      <c r="E2283" s="1" t="s">
        <v>18</v>
      </c>
      <c r="F2283" t="str">
        <f>HYPERLINK("http://www.sec.gov/Archives/edgar/data/1271075/0001144204-16-091734-index.html")</f>
        <v>http://www.sec.gov/Archives/edgar/data/1271075/0001144204-16-091734-index.html</v>
      </c>
    </row>
    <row r="2284" spans="1:6" x14ac:dyDescent="0.2">
      <c r="A2284" t="s">
        <v>2080</v>
      </c>
      <c r="B2284" s="1">
        <v>1272597</v>
      </c>
      <c r="C2284" s="1">
        <v>8093</v>
      </c>
      <c r="D2284" s="2">
        <v>42460</v>
      </c>
      <c r="E2284" s="1" t="s">
        <v>18</v>
      </c>
      <c r="F2284" t="str">
        <f>HYPERLINK("http://www.sec.gov/Archives/edgar/data/1272597/0001564590-16-015696-index.html")</f>
        <v>http://www.sec.gov/Archives/edgar/data/1272597/0001564590-16-015696-index.html</v>
      </c>
    </row>
    <row r="2285" spans="1:6" x14ac:dyDescent="0.2">
      <c r="A2285" t="s">
        <v>2081</v>
      </c>
      <c r="B2285" s="1">
        <v>1282224</v>
      </c>
      <c r="C2285" s="1">
        <v>7200</v>
      </c>
      <c r="D2285" s="2">
        <v>42460</v>
      </c>
      <c r="E2285" s="1" t="s">
        <v>18</v>
      </c>
      <c r="F2285" t="str">
        <f>HYPERLINK("http://www.sec.gov/Archives/edgar/data/1282224/0001354488-16-006837-index.html")</f>
        <v>http://www.sec.gov/Archives/edgar/data/1282224/0001354488-16-006837-index.html</v>
      </c>
    </row>
    <row r="2286" spans="1:6" x14ac:dyDescent="0.2">
      <c r="A2286" t="s">
        <v>2082</v>
      </c>
      <c r="B2286" s="1">
        <v>1322439</v>
      </c>
      <c r="C2286" s="1">
        <v>4412</v>
      </c>
      <c r="D2286" s="2">
        <v>42460</v>
      </c>
      <c r="E2286" s="1" t="s">
        <v>18</v>
      </c>
      <c r="F2286" t="str">
        <f>HYPERLINK("http://www.sec.gov/Archives/edgar/data/1322439/0001437749-16-028714-index.html")</f>
        <v>http://www.sec.gov/Archives/edgar/data/1322439/0001437749-16-028714-index.html</v>
      </c>
    </row>
    <row r="2287" spans="1:6" x14ac:dyDescent="0.2">
      <c r="A2287" t="s">
        <v>2083</v>
      </c>
      <c r="B2287" s="1">
        <v>1338242</v>
      </c>
      <c r="C2287" s="1">
        <v>7385</v>
      </c>
      <c r="D2287" s="2">
        <v>42460</v>
      </c>
      <c r="E2287" s="1" t="s">
        <v>18</v>
      </c>
      <c r="F2287" t="str">
        <f>HYPERLINK("http://www.sec.gov/Archives/edgar/data/1338242/0001161697-16-000771-index.html")</f>
        <v>http://www.sec.gov/Archives/edgar/data/1338242/0001161697-16-000771-index.html</v>
      </c>
    </row>
    <row r="2288" spans="1:6" x14ac:dyDescent="0.2">
      <c r="A2288" t="s">
        <v>2084</v>
      </c>
      <c r="B2288" s="1">
        <v>1354513</v>
      </c>
      <c r="C2288" s="1">
        <v>4833</v>
      </c>
      <c r="D2288" s="2">
        <v>42460</v>
      </c>
      <c r="E2288" s="1" t="s">
        <v>18</v>
      </c>
      <c r="F2288" t="str">
        <f>HYPERLINK("http://www.sec.gov/Archives/edgar/data/1354513/0001047469-16-011802-index.html")</f>
        <v>http://www.sec.gov/Archives/edgar/data/1354513/0001047469-16-011802-index.html</v>
      </c>
    </row>
    <row r="2289" spans="1:6" x14ac:dyDescent="0.2">
      <c r="A2289" t="s">
        <v>2085</v>
      </c>
      <c r="B2289" s="1">
        <v>1393052</v>
      </c>
      <c r="C2289" s="1">
        <v>7372</v>
      </c>
      <c r="D2289" s="2">
        <v>42460</v>
      </c>
      <c r="E2289" s="1" t="s">
        <v>18</v>
      </c>
      <c r="F2289" t="str">
        <f>HYPERLINK("http://www.sec.gov/Archives/edgar/data/1393052/0001564590-16-015753-index.html")</f>
        <v>http://www.sec.gov/Archives/edgar/data/1393052/0001564590-16-015753-index.html</v>
      </c>
    </row>
    <row r="2290" spans="1:6" x14ac:dyDescent="0.2">
      <c r="A2290" t="s">
        <v>2086</v>
      </c>
      <c r="B2290" s="1">
        <v>1397403</v>
      </c>
      <c r="C2290" s="1">
        <v>6500</v>
      </c>
      <c r="D2290" s="2">
        <v>42460</v>
      </c>
      <c r="E2290" s="1" t="s">
        <v>18</v>
      </c>
      <c r="F2290" t="str">
        <f>HYPERLINK("http://www.sec.gov/Archives/edgar/data/1397403/0001397403-16-000058-index.html")</f>
        <v>http://www.sec.gov/Archives/edgar/data/1397403/0001397403-16-000058-index.html</v>
      </c>
    </row>
    <row r="2291" spans="1:6" x14ac:dyDescent="0.2">
      <c r="A2291" t="s">
        <v>2087</v>
      </c>
      <c r="B2291" s="1">
        <v>1403676</v>
      </c>
      <c r="C2291" s="1">
        <v>2820</v>
      </c>
      <c r="D2291" s="2">
        <v>42460</v>
      </c>
      <c r="E2291" s="1" t="s">
        <v>21</v>
      </c>
      <c r="F2291" t="str">
        <f>HYPERLINK("http://www.sec.gov/Archives/edgar/data/1403676/0001553350-16-001814-index.html")</f>
        <v>http://www.sec.gov/Archives/edgar/data/1403676/0001553350-16-001814-index.html</v>
      </c>
    </row>
    <row r="2292" spans="1:6" x14ac:dyDescent="0.2">
      <c r="A2292" t="s">
        <v>2088</v>
      </c>
      <c r="B2292" s="1">
        <v>1420569</v>
      </c>
      <c r="C2292" s="1">
        <v>2086</v>
      </c>
      <c r="D2292" s="2">
        <v>42460</v>
      </c>
      <c r="E2292" s="1" t="s">
        <v>42</v>
      </c>
      <c r="F2292" t="str">
        <f>HYPERLINK("http://www.sec.gov/Archives/edgar/data/1420569/0001472375-16-000324-index.html")</f>
        <v>http://www.sec.gov/Archives/edgar/data/1420569/0001472375-16-000324-index.html</v>
      </c>
    </row>
    <row r="2293" spans="1:6" x14ac:dyDescent="0.2">
      <c r="A2293" t="s">
        <v>2089</v>
      </c>
      <c r="B2293" s="1">
        <v>1428336</v>
      </c>
      <c r="C2293" s="1">
        <v>7389</v>
      </c>
      <c r="D2293" s="2">
        <v>42460</v>
      </c>
      <c r="E2293" s="1" t="s">
        <v>18</v>
      </c>
      <c r="F2293" t="str">
        <f>HYPERLINK("http://www.sec.gov/Archives/edgar/data/1428336/0001428336-16-000041-index.html")</f>
        <v>http://www.sec.gov/Archives/edgar/data/1428336/0001428336-16-000041-index.html</v>
      </c>
    </row>
    <row r="2294" spans="1:6" x14ac:dyDescent="0.2">
      <c r="A2294" t="s">
        <v>2090</v>
      </c>
      <c r="B2294" s="1">
        <v>1432963</v>
      </c>
      <c r="C2294" s="1">
        <v>1389</v>
      </c>
      <c r="D2294" s="2">
        <v>42460</v>
      </c>
      <c r="E2294" s="1" t="s">
        <v>18</v>
      </c>
      <c r="F2294" t="str">
        <f>HYPERLINK("http://www.sec.gov/Archives/edgar/data/1432963/0001213900-16-012093-index.html")</f>
        <v>http://www.sec.gov/Archives/edgar/data/1432963/0001213900-16-012093-index.html</v>
      </c>
    </row>
    <row r="2295" spans="1:6" x14ac:dyDescent="0.2">
      <c r="A2295" t="s">
        <v>2091</v>
      </c>
      <c r="B2295" s="1">
        <v>1446687</v>
      </c>
      <c r="C2295" s="1">
        <v>6500</v>
      </c>
      <c r="D2295" s="2">
        <v>42460</v>
      </c>
      <c r="E2295" s="1" t="s">
        <v>18</v>
      </c>
      <c r="F2295" t="str">
        <f>HYPERLINK("http://www.sec.gov/Archives/edgar/data/1446687/0001446687-16-000126-index.html")</f>
        <v>http://www.sec.gov/Archives/edgar/data/1446687/0001446687-16-000126-index.html</v>
      </c>
    </row>
    <row r="2296" spans="1:6" x14ac:dyDescent="0.2">
      <c r="A2296" t="s">
        <v>2092</v>
      </c>
      <c r="B2296" s="1">
        <v>1449792</v>
      </c>
      <c r="C2296" s="1">
        <v>3612</v>
      </c>
      <c r="D2296" s="2">
        <v>42460</v>
      </c>
      <c r="E2296" s="1" t="s">
        <v>18</v>
      </c>
      <c r="F2296" t="str">
        <f>HYPERLINK("http://www.sec.gov/Archives/edgar/data/1449792/0001144204-16-091897-index.html")</f>
        <v>http://www.sec.gov/Archives/edgar/data/1449792/0001144204-16-091897-index.html</v>
      </c>
    </row>
    <row r="2297" spans="1:6" x14ac:dyDescent="0.2">
      <c r="A2297" t="s">
        <v>2093</v>
      </c>
      <c r="B2297" s="1">
        <v>1452751</v>
      </c>
      <c r="C2297" s="1">
        <v>3572</v>
      </c>
      <c r="D2297" s="2">
        <v>42460</v>
      </c>
      <c r="E2297" s="1" t="s">
        <v>18</v>
      </c>
      <c r="F2297" t="str">
        <f>HYPERLINK("http://www.sec.gov/Archives/edgar/data/1452751/0001193125-16-525502-index.html")</f>
        <v>http://www.sec.gov/Archives/edgar/data/1452751/0001193125-16-525502-index.html</v>
      </c>
    </row>
    <row r="2298" spans="1:6" x14ac:dyDescent="0.2">
      <c r="A2298" t="s">
        <v>2094</v>
      </c>
      <c r="B2298" s="1">
        <v>1509477</v>
      </c>
      <c r="C2298" s="1">
        <v>7310</v>
      </c>
      <c r="D2298" s="2">
        <v>42460</v>
      </c>
      <c r="E2298" s="1" t="s">
        <v>18</v>
      </c>
      <c r="F2298" t="str">
        <f>HYPERLINK("http://www.sec.gov/Archives/edgar/data/1509477/0001144204-16-092023-index.html")</f>
        <v>http://www.sec.gov/Archives/edgar/data/1509477/0001144204-16-092023-index.html</v>
      </c>
    </row>
    <row r="2299" spans="1:6" x14ac:dyDescent="0.2">
      <c r="A2299" t="s">
        <v>2095</v>
      </c>
      <c r="B2299" s="1">
        <v>1518461</v>
      </c>
      <c r="C2299" s="1">
        <v>3669</v>
      </c>
      <c r="D2299" s="2">
        <v>42460</v>
      </c>
      <c r="E2299" s="1" t="s">
        <v>18</v>
      </c>
      <c r="F2299" t="str">
        <f>HYPERLINK("http://www.sec.gov/Archives/edgar/data/1518461/0001477932-16-009415-index.html")</f>
        <v>http://www.sec.gov/Archives/edgar/data/1518461/0001477932-16-009415-index.html</v>
      </c>
    </row>
    <row r="2300" spans="1:6" x14ac:dyDescent="0.2">
      <c r="A2300" t="s">
        <v>2096</v>
      </c>
      <c r="B2300" s="1">
        <v>1545078</v>
      </c>
      <c r="C2300" s="1">
        <v>6036</v>
      </c>
      <c r="D2300" s="2">
        <v>42460</v>
      </c>
      <c r="E2300" s="1" t="s">
        <v>18</v>
      </c>
      <c r="F2300" t="str">
        <f>HYPERLINK("http://www.sec.gov/Archives/edgar/data/1545078/0001193125-16-524898-index.html")</f>
        <v>http://www.sec.gov/Archives/edgar/data/1545078/0001193125-16-524898-index.html</v>
      </c>
    </row>
    <row r="2301" spans="1:6" x14ac:dyDescent="0.2">
      <c r="A2301" t="s">
        <v>19</v>
      </c>
      <c r="B2301" s="1">
        <v>1576873</v>
      </c>
      <c r="C2301" s="1">
        <v>1000</v>
      </c>
      <c r="D2301" s="2">
        <v>42460</v>
      </c>
      <c r="E2301" s="1" t="s">
        <v>42</v>
      </c>
      <c r="F2301" t="str">
        <f>HYPERLINK("http://www.sec.gov/Archives/edgar/data/1576873/0001477932-16-009407-index.html")</f>
        <v>http://www.sec.gov/Archives/edgar/data/1576873/0001477932-16-009407-index.html</v>
      </c>
    </row>
    <row r="2302" spans="1:6" x14ac:dyDescent="0.2">
      <c r="A2302" t="s">
        <v>468</v>
      </c>
      <c r="B2302" s="1">
        <v>1580608</v>
      </c>
      <c r="C2302" s="1">
        <v>6141</v>
      </c>
      <c r="D2302" s="2">
        <v>42460</v>
      </c>
      <c r="E2302" s="1" t="s">
        <v>18</v>
      </c>
      <c r="F2302" t="str">
        <f>HYPERLINK("http://www.sec.gov/Archives/edgar/data/1580608/0001580608-16-000185-index.html")</f>
        <v>http://www.sec.gov/Archives/edgar/data/1580608/0001580608-16-000185-index.html</v>
      </c>
    </row>
    <row r="2303" spans="1:6" x14ac:dyDescent="0.2">
      <c r="A2303" t="s">
        <v>2097</v>
      </c>
      <c r="B2303" s="1">
        <v>1610607</v>
      </c>
      <c r="C2303" s="1">
        <v>5180</v>
      </c>
      <c r="D2303" s="2">
        <v>42460</v>
      </c>
      <c r="E2303" s="1" t="s">
        <v>18</v>
      </c>
      <c r="F2303" t="str">
        <f>HYPERLINK("http://www.sec.gov/Archives/edgar/data/1610607/0001493152-16-008558-index.html")</f>
        <v>http://www.sec.gov/Archives/edgar/data/1610607/0001493152-16-008558-index.html</v>
      </c>
    </row>
    <row r="2304" spans="1:6" x14ac:dyDescent="0.2">
      <c r="A2304" t="s">
        <v>2098</v>
      </c>
      <c r="B2304" s="1">
        <v>1614466</v>
      </c>
      <c r="C2304" s="1">
        <v>1400</v>
      </c>
      <c r="D2304" s="2">
        <v>42460</v>
      </c>
      <c r="E2304" s="1" t="s">
        <v>42</v>
      </c>
      <c r="F2304" t="str">
        <f>HYPERLINK("http://www.sec.gov/Archives/edgar/data/1614466/0001493152-16-008497-index.html")</f>
        <v>http://www.sec.gov/Archives/edgar/data/1614466/0001493152-16-008497-index.html</v>
      </c>
    </row>
    <row r="2305" spans="1:6" x14ac:dyDescent="0.2">
      <c r="A2305" t="s">
        <v>2099</v>
      </c>
      <c r="B2305" s="1">
        <v>1628228</v>
      </c>
      <c r="C2305" s="1">
        <v>7372</v>
      </c>
      <c r="D2305" s="2">
        <v>42460</v>
      </c>
      <c r="E2305" s="1" t="s">
        <v>18</v>
      </c>
      <c r="F2305" t="str">
        <f>HYPERLINK("http://www.sec.gov/Archives/edgar/data/1628228/0001213900-16-012108-index.html")</f>
        <v>http://www.sec.gov/Archives/edgar/data/1628228/0001213900-16-012108-index.html</v>
      </c>
    </row>
    <row r="2306" spans="1:6" x14ac:dyDescent="0.2">
      <c r="A2306" t="s">
        <v>1039</v>
      </c>
      <c r="B2306" s="1">
        <v>225211</v>
      </c>
      <c r="C2306" s="1">
        <v>3661</v>
      </c>
      <c r="D2306" s="2">
        <v>42460</v>
      </c>
      <c r="E2306" s="1" t="s">
        <v>18</v>
      </c>
      <c r="F2306" t="str">
        <f>HYPERLINK("http://www.sec.gov/Archives/edgar/data/225211/0001615774-16-004743-index.html")</f>
        <v>http://www.sec.gov/Archives/edgar/data/225211/0001615774-16-004743-index.html</v>
      </c>
    </row>
    <row r="2307" spans="1:6" x14ac:dyDescent="0.2">
      <c r="A2307" t="s">
        <v>2100</v>
      </c>
      <c r="B2307" s="1">
        <v>719955</v>
      </c>
      <c r="C2307" s="1">
        <v>5700</v>
      </c>
      <c r="D2307" s="2">
        <v>42460</v>
      </c>
      <c r="E2307" s="1" t="s">
        <v>18</v>
      </c>
      <c r="F2307" t="str">
        <f>HYPERLINK("http://www.sec.gov/Archives/edgar/data/719955/0001193125-16-525847-index.html")</f>
        <v>http://www.sec.gov/Archives/edgar/data/719955/0001193125-16-525847-index.html</v>
      </c>
    </row>
    <row r="2308" spans="1:6" x14ac:dyDescent="0.2">
      <c r="A2308" t="s">
        <v>2101</v>
      </c>
      <c r="B2308" s="1">
        <v>72573</v>
      </c>
      <c r="C2308" s="1">
        <v>3873</v>
      </c>
      <c r="D2308" s="2">
        <v>42460</v>
      </c>
      <c r="E2308" s="1" t="s">
        <v>18</v>
      </c>
      <c r="F2308" t="str">
        <f>HYPERLINK("http://www.sec.gov/Archives/edgar/data/72573/0001564590-16-015742-index.html")</f>
        <v>http://www.sec.gov/Archives/edgar/data/72573/0001564590-16-015742-index.html</v>
      </c>
    </row>
    <row r="2309" spans="1:6" x14ac:dyDescent="0.2">
      <c r="A2309" t="s">
        <v>2102</v>
      </c>
      <c r="B2309" s="1">
        <v>797542</v>
      </c>
      <c r="C2309" s="1">
        <v>6770</v>
      </c>
      <c r="D2309" s="2">
        <v>42460</v>
      </c>
      <c r="E2309" s="1" t="s">
        <v>18</v>
      </c>
      <c r="F2309" t="str">
        <f>HYPERLINK("http://www.sec.gov/Archives/edgar/data/797542/0001295345-16-000489-index.html")</f>
        <v>http://www.sec.gov/Archives/edgar/data/797542/0001295345-16-000489-index.html</v>
      </c>
    </row>
    <row r="2310" spans="1:6" x14ac:dyDescent="0.2">
      <c r="A2310" t="s">
        <v>2103</v>
      </c>
      <c r="B2310" s="1">
        <v>831489</v>
      </c>
      <c r="C2310" s="1">
        <v>7900</v>
      </c>
      <c r="D2310" s="2">
        <v>42460</v>
      </c>
      <c r="E2310" s="1" t="s">
        <v>18</v>
      </c>
      <c r="F2310" t="str">
        <f>HYPERLINK("http://www.sec.gov/Archives/edgar/data/831489/0001144204-16-091840-index.html")</f>
        <v>http://www.sec.gov/Archives/edgar/data/831489/0001144204-16-091840-index.html</v>
      </c>
    </row>
    <row r="2311" spans="1:6" x14ac:dyDescent="0.2">
      <c r="A2311" t="s">
        <v>2104</v>
      </c>
      <c r="B2311" s="1">
        <v>846475</v>
      </c>
      <c r="C2311" s="1">
        <v>3845</v>
      </c>
      <c r="D2311" s="2">
        <v>42460</v>
      </c>
      <c r="E2311" s="1" t="s">
        <v>18</v>
      </c>
      <c r="F2311" t="str">
        <f>HYPERLINK("http://www.sec.gov/Archives/edgar/data/846475/0001564590-16-015749-index.html")</f>
        <v>http://www.sec.gov/Archives/edgar/data/846475/0001564590-16-015749-index.html</v>
      </c>
    </row>
    <row r="2312" spans="1:6" x14ac:dyDescent="0.2">
      <c r="A2312" t="s">
        <v>2105</v>
      </c>
      <c r="B2312" s="1">
        <v>879519</v>
      </c>
      <c r="C2312" s="1">
        <v>5960</v>
      </c>
      <c r="D2312" s="2">
        <v>42460</v>
      </c>
      <c r="E2312" s="1" t="s">
        <v>18</v>
      </c>
      <c r="F2312" t="str">
        <f>HYPERLINK("http://www.sec.gov/Archives/edgar/data/879519/0001002014-16-000636-index.html")</f>
        <v>http://www.sec.gov/Archives/edgar/data/879519/0001002014-16-000636-index.html</v>
      </c>
    </row>
    <row r="2313" spans="1:6" x14ac:dyDescent="0.2">
      <c r="A2313" t="s">
        <v>2106</v>
      </c>
      <c r="B2313" s="1">
        <v>88941</v>
      </c>
      <c r="C2313" s="1">
        <v>3674</v>
      </c>
      <c r="D2313" s="2">
        <v>42460</v>
      </c>
      <c r="E2313" s="1" t="s">
        <v>18</v>
      </c>
      <c r="F2313" t="str">
        <f>HYPERLINK("http://www.sec.gov/Archives/edgar/data/88941/0001628280-16-013952-index.html")</f>
        <v>http://www.sec.gov/Archives/edgar/data/88941/0001628280-16-013952-index.html</v>
      </c>
    </row>
    <row r="2314" spans="1:6" x14ac:dyDescent="0.2">
      <c r="A2314" t="s">
        <v>2107</v>
      </c>
      <c r="B2314" s="1">
        <v>912615</v>
      </c>
      <c r="C2314" s="1">
        <v>5651</v>
      </c>
      <c r="D2314" s="2">
        <v>42460</v>
      </c>
      <c r="E2314" s="1" t="s">
        <v>18</v>
      </c>
      <c r="F2314" t="str">
        <f>HYPERLINK("http://www.sec.gov/Archives/edgar/data/912615/0001193125-16-525832-index.html")</f>
        <v>http://www.sec.gov/Archives/edgar/data/912615/0001193125-16-525832-index.html</v>
      </c>
    </row>
    <row r="2315" spans="1:6" x14ac:dyDescent="0.2">
      <c r="A2315" t="s">
        <v>2108</v>
      </c>
      <c r="B2315" s="1">
        <v>1000232</v>
      </c>
      <c r="C2315" s="1">
        <v>6022</v>
      </c>
      <c r="D2315" s="2">
        <v>42459</v>
      </c>
      <c r="E2315" s="1" t="s">
        <v>18</v>
      </c>
      <c r="F2315" t="str">
        <f>HYPERLINK("http://www.sec.gov/Archives/edgar/data/1000232/0001104659-16-108555-index.html")</f>
        <v>http://www.sec.gov/Archives/edgar/data/1000232/0001104659-16-108555-index.html</v>
      </c>
    </row>
    <row r="2316" spans="1:6" x14ac:dyDescent="0.2">
      <c r="A2316" t="s">
        <v>2109</v>
      </c>
      <c r="B2316" s="1">
        <v>1000683</v>
      </c>
      <c r="C2316" s="1">
        <v>3663</v>
      </c>
      <c r="D2316" s="2">
        <v>42459</v>
      </c>
      <c r="E2316" s="1" t="s">
        <v>18</v>
      </c>
      <c r="F2316" t="str">
        <f>HYPERLINK("http://www.sec.gov/Archives/edgar/data/1000683/0001144204-16-091323-index.html")</f>
        <v>http://www.sec.gov/Archives/edgar/data/1000683/0001144204-16-091323-index.html</v>
      </c>
    </row>
    <row r="2317" spans="1:6" x14ac:dyDescent="0.2">
      <c r="A2317" t="s">
        <v>2110</v>
      </c>
      <c r="B2317" s="1">
        <v>1001614</v>
      </c>
      <c r="C2317" s="1">
        <v>1311</v>
      </c>
      <c r="D2317" s="2">
        <v>42459</v>
      </c>
      <c r="E2317" s="1" t="s">
        <v>18</v>
      </c>
      <c r="F2317" t="str">
        <f>HYPERLINK("http://www.sec.gov/Archives/edgar/data/1001614/0001140361-16-059420-index.html")</f>
        <v>http://www.sec.gov/Archives/edgar/data/1001614/0001140361-16-059420-index.html</v>
      </c>
    </row>
    <row r="2318" spans="1:6" x14ac:dyDescent="0.2">
      <c r="A2318" t="s">
        <v>2111</v>
      </c>
      <c r="B2318" s="1">
        <v>1004673</v>
      </c>
      <c r="C2318" s="1">
        <v>3990</v>
      </c>
      <c r="D2318" s="2">
        <v>42459</v>
      </c>
      <c r="E2318" s="1" t="s">
        <v>18</v>
      </c>
      <c r="F2318" t="str">
        <f>HYPERLINK("http://www.sec.gov/Archives/edgar/data/1004673/0001144204-16-091341-index.html")</f>
        <v>http://www.sec.gov/Archives/edgar/data/1004673/0001144204-16-091341-index.html</v>
      </c>
    </row>
    <row r="2319" spans="1:6" x14ac:dyDescent="0.2">
      <c r="A2319" t="s">
        <v>2112</v>
      </c>
      <c r="B2319" s="1">
        <v>1004724</v>
      </c>
      <c r="C2319" s="1">
        <v>8051</v>
      </c>
      <c r="D2319" s="2">
        <v>42459</v>
      </c>
      <c r="E2319" s="1" t="s">
        <v>18</v>
      </c>
      <c r="F2319" t="str">
        <f>HYPERLINK("http://www.sec.gov/Archives/edgar/data/1004724/0001004724-16-000179-index.html")</f>
        <v>http://www.sec.gov/Archives/edgar/data/1004724/0001004724-16-000179-index.html</v>
      </c>
    </row>
    <row r="2320" spans="1:6" x14ac:dyDescent="0.2">
      <c r="A2320" t="s">
        <v>2113</v>
      </c>
      <c r="B2320" s="1">
        <v>1004989</v>
      </c>
      <c r="C2320" s="1">
        <v>7389</v>
      </c>
      <c r="D2320" s="2">
        <v>42459</v>
      </c>
      <c r="E2320" s="1" t="s">
        <v>18</v>
      </c>
      <c r="F2320" t="str">
        <f>HYPERLINK("http://www.sec.gov/Archives/edgar/data/1004989/0001437749-16-028672-index.html")</f>
        <v>http://www.sec.gov/Archives/edgar/data/1004989/0001437749-16-028672-index.html</v>
      </c>
    </row>
    <row r="2321" spans="1:6" x14ac:dyDescent="0.2">
      <c r="A2321" t="s">
        <v>2114</v>
      </c>
      <c r="B2321" s="1">
        <v>100625</v>
      </c>
      <c r="C2321" s="1">
        <v>3829</v>
      </c>
      <c r="D2321" s="2">
        <v>42459</v>
      </c>
      <c r="E2321" s="1" t="s">
        <v>18</v>
      </c>
      <c r="F2321" t="str">
        <f>HYPERLINK("http://www.sec.gov/Archives/edgar/data/100625/0001144204-16-091068-index.html")</f>
        <v>http://www.sec.gov/Archives/edgar/data/100625/0001144204-16-091068-index.html</v>
      </c>
    </row>
    <row r="2322" spans="1:6" x14ac:dyDescent="0.2">
      <c r="A2322" t="s">
        <v>2115</v>
      </c>
      <c r="B2322" s="1">
        <v>1011432</v>
      </c>
      <c r="C2322" s="1">
        <v>7389</v>
      </c>
      <c r="D2322" s="2">
        <v>42459</v>
      </c>
      <c r="E2322" s="1" t="s">
        <v>18</v>
      </c>
      <c r="F2322" t="str">
        <f>HYPERLINK("http://www.sec.gov/Archives/edgar/data/1011432/0001445866-16-001814-index.html")</f>
        <v>http://www.sec.gov/Archives/edgar/data/1011432/0001445866-16-001814-index.html</v>
      </c>
    </row>
    <row r="2323" spans="1:6" x14ac:dyDescent="0.2">
      <c r="A2323" t="s">
        <v>2116</v>
      </c>
      <c r="B2323" s="1">
        <v>1013238</v>
      </c>
      <c r="C2323" s="1">
        <v>3845</v>
      </c>
      <c r="D2323" s="2">
        <v>42459</v>
      </c>
      <c r="E2323" s="1" t="s">
        <v>18</v>
      </c>
      <c r="F2323" t="str">
        <f>HYPERLINK("http://www.sec.gov/Archives/edgar/data/1013238/0001193125-16-523464-index.html")</f>
        <v>http://www.sec.gov/Archives/edgar/data/1013238/0001193125-16-523464-index.html</v>
      </c>
    </row>
    <row r="2324" spans="1:6" x14ac:dyDescent="0.2">
      <c r="A2324" t="s">
        <v>2117</v>
      </c>
      <c r="B2324" s="1">
        <v>1014763</v>
      </c>
      <c r="C2324" s="1">
        <v>2834</v>
      </c>
      <c r="D2324" s="2">
        <v>42459</v>
      </c>
      <c r="E2324" s="1" t="s">
        <v>18</v>
      </c>
      <c r="F2324" t="str">
        <f>HYPERLINK("http://www.sec.gov/Archives/edgar/data/1014763/0001014763-16-000029-index.html")</f>
        <v>http://www.sec.gov/Archives/edgar/data/1014763/0001014763-16-000029-index.html</v>
      </c>
    </row>
    <row r="2325" spans="1:6" x14ac:dyDescent="0.2">
      <c r="A2325" t="s">
        <v>2118</v>
      </c>
      <c r="B2325" s="1">
        <v>1015383</v>
      </c>
      <c r="C2325" s="1">
        <v>2330</v>
      </c>
      <c r="D2325" s="2">
        <v>42459</v>
      </c>
      <c r="E2325" s="1" t="s">
        <v>18</v>
      </c>
      <c r="F2325" t="str">
        <f>HYPERLINK("http://www.sec.gov/Archives/edgar/data/1015383/0001079973-16-000881-index.html")</f>
        <v>http://www.sec.gov/Archives/edgar/data/1015383/0001079973-16-000881-index.html</v>
      </c>
    </row>
    <row r="2326" spans="1:6" x14ac:dyDescent="0.2">
      <c r="A2326" t="s">
        <v>2119</v>
      </c>
      <c r="B2326" s="1">
        <v>101538</v>
      </c>
      <c r="C2326" s="1">
        <v>3330</v>
      </c>
      <c r="D2326" s="2">
        <v>42459</v>
      </c>
      <c r="E2326" s="1" t="s">
        <v>18</v>
      </c>
      <c r="F2326" t="str">
        <f>HYPERLINK("http://www.sec.gov/Archives/edgar/data/101538/0001354488-16-006768-index.html")</f>
        <v>http://www.sec.gov/Archives/edgar/data/101538/0001354488-16-006768-index.html</v>
      </c>
    </row>
    <row r="2327" spans="1:6" x14ac:dyDescent="0.2">
      <c r="A2327" t="s">
        <v>2120</v>
      </c>
      <c r="B2327" s="1">
        <v>1017655</v>
      </c>
      <c r="C2327" s="1">
        <v>7389</v>
      </c>
      <c r="D2327" s="2">
        <v>42459</v>
      </c>
      <c r="E2327" s="1" t="s">
        <v>18</v>
      </c>
      <c r="F2327" t="str">
        <f>HYPERLINK("http://www.sec.gov/Archives/edgar/data/1017655/0001415889-16-005382-index.html")</f>
        <v>http://www.sec.gov/Archives/edgar/data/1017655/0001415889-16-005382-index.html</v>
      </c>
    </row>
    <row r="2328" spans="1:6" x14ac:dyDescent="0.2">
      <c r="A2328" t="s">
        <v>2121</v>
      </c>
      <c r="B2328" s="1">
        <v>1019034</v>
      </c>
      <c r="C2328" s="1">
        <v>3576</v>
      </c>
      <c r="D2328" s="2">
        <v>42459</v>
      </c>
      <c r="E2328" s="1" t="s">
        <v>18</v>
      </c>
      <c r="F2328" t="str">
        <f>HYPERLINK("http://www.sec.gov/Archives/edgar/data/1019034/0001437749-16-028706-index.html")</f>
        <v>http://www.sec.gov/Archives/edgar/data/1019034/0001437749-16-028706-index.html</v>
      </c>
    </row>
    <row r="2329" spans="1:6" x14ac:dyDescent="0.2">
      <c r="A2329" t="s">
        <v>2122</v>
      </c>
      <c r="B2329" s="1">
        <v>1019272</v>
      </c>
      <c r="C2329" s="1">
        <v>5051</v>
      </c>
      <c r="D2329" s="2">
        <v>42459</v>
      </c>
      <c r="E2329" s="1" t="s">
        <v>18</v>
      </c>
      <c r="F2329" t="str">
        <f>HYPERLINK("http://www.sec.gov/Archives/edgar/data/1019272/0001144204-16-091278-index.html")</f>
        <v>http://www.sec.gov/Archives/edgar/data/1019272/0001144204-16-091278-index.html</v>
      </c>
    </row>
    <row r="2330" spans="1:6" x14ac:dyDescent="0.2">
      <c r="A2330" t="s">
        <v>2123</v>
      </c>
      <c r="B2330" s="1">
        <v>1021435</v>
      </c>
      <c r="C2330" s="1">
        <v>7372</v>
      </c>
      <c r="D2330" s="2">
        <v>42459</v>
      </c>
      <c r="E2330" s="1" t="s">
        <v>18</v>
      </c>
      <c r="F2330" t="str">
        <f>HYPERLINK("http://www.sec.gov/Archives/edgar/data/1021435/0001493152-16-008418-index.html")</f>
        <v>http://www.sec.gov/Archives/edgar/data/1021435/0001493152-16-008418-index.html</v>
      </c>
    </row>
    <row r="2331" spans="1:6" x14ac:dyDescent="0.2">
      <c r="A2331" t="s">
        <v>2124</v>
      </c>
      <c r="B2331" s="1">
        <v>1025362</v>
      </c>
      <c r="C2331" s="1">
        <v>1000</v>
      </c>
      <c r="D2331" s="2">
        <v>42459</v>
      </c>
      <c r="E2331" s="1" t="s">
        <v>18</v>
      </c>
      <c r="F2331" t="str">
        <f>HYPERLINK("http://www.sec.gov/Archives/edgar/data/1025362/0001144204-16-091646-index.html")</f>
        <v>http://www.sec.gov/Archives/edgar/data/1025362/0001144204-16-091646-index.html</v>
      </c>
    </row>
    <row r="2332" spans="1:6" x14ac:dyDescent="0.2">
      <c r="A2332" t="s">
        <v>2125</v>
      </c>
      <c r="B2332" s="1">
        <v>1029581</v>
      </c>
      <c r="C2332" s="1">
        <v>7371</v>
      </c>
      <c r="D2332" s="2">
        <v>42459</v>
      </c>
      <c r="E2332" s="1" t="s">
        <v>18</v>
      </c>
      <c r="F2332" t="str">
        <f>HYPERLINK("http://www.sec.gov/Archives/edgar/data/1029581/0001213900-16-012025-index.html")</f>
        <v>http://www.sec.gov/Archives/edgar/data/1029581/0001213900-16-012025-index.html</v>
      </c>
    </row>
    <row r="2333" spans="1:6" x14ac:dyDescent="0.2">
      <c r="A2333" t="s">
        <v>2126</v>
      </c>
      <c r="B2333" s="1">
        <v>1031927</v>
      </c>
      <c r="C2333" s="1">
        <v>3845</v>
      </c>
      <c r="D2333" s="2">
        <v>42459</v>
      </c>
      <c r="E2333" s="1" t="s">
        <v>18</v>
      </c>
      <c r="F2333" t="str">
        <f>HYPERLINK("http://www.sec.gov/Archives/edgar/data/1031927/0001415889-16-005383-index.html")</f>
        <v>http://www.sec.gov/Archives/edgar/data/1031927/0001415889-16-005383-index.html</v>
      </c>
    </row>
    <row r="2334" spans="1:6" x14ac:dyDescent="0.2">
      <c r="A2334" t="s">
        <v>2127</v>
      </c>
      <c r="B2334" s="1">
        <v>1034592</v>
      </c>
      <c r="C2334" s="1">
        <v>7389</v>
      </c>
      <c r="D2334" s="2">
        <v>42459</v>
      </c>
      <c r="E2334" s="1" t="s">
        <v>18</v>
      </c>
      <c r="F2334" t="str">
        <f>HYPERLINK("http://www.sec.gov/Archives/edgar/data/1034592/0001437749-16-028711-index.html")</f>
        <v>http://www.sec.gov/Archives/edgar/data/1034592/0001437749-16-028711-index.html</v>
      </c>
    </row>
    <row r="2335" spans="1:6" x14ac:dyDescent="0.2">
      <c r="A2335" t="s">
        <v>2128</v>
      </c>
      <c r="B2335" s="1">
        <v>1038773</v>
      </c>
      <c r="C2335" s="1">
        <v>6021</v>
      </c>
      <c r="D2335" s="2">
        <v>42459</v>
      </c>
      <c r="E2335" s="1" t="s">
        <v>18</v>
      </c>
      <c r="F2335" t="str">
        <f>HYPERLINK("http://www.sec.gov/Archives/edgar/data/1038773/0001144204-16-091601-index.html")</f>
        <v>http://www.sec.gov/Archives/edgar/data/1038773/0001144204-16-091601-index.html</v>
      </c>
    </row>
    <row r="2336" spans="1:6" x14ac:dyDescent="0.2">
      <c r="A2336" t="s">
        <v>2129</v>
      </c>
      <c r="B2336" s="1">
        <v>104169</v>
      </c>
      <c r="C2336" s="1">
        <v>5331</v>
      </c>
      <c r="D2336" s="2">
        <v>42459</v>
      </c>
      <c r="E2336" s="1" t="s">
        <v>18</v>
      </c>
      <c r="F2336" t="str">
        <f>HYPERLINK("http://www.sec.gov/Archives/edgar/data/104169/0000104169-16-000079-index.html")</f>
        <v>http://www.sec.gov/Archives/edgar/data/104169/0000104169-16-000079-index.html</v>
      </c>
    </row>
    <row r="2337" spans="1:6" x14ac:dyDescent="0.2">
      <c r="A2337" t="s">
        <v>2130</v>
      </c>
      <c r="B2337" s="1">
        <v>1054102</v>
      </c>
      <c r="C2337" s="1">
        <v>7389</v>
      </c>
      <c r="D2337" s="2">
        <v>42459</v>
      </c>
      <c r="E2337" s="1" t="s">
        <v>18</v>
      </c>
      <c r="F2337" t="str">
        <f>HYPERLINK("http://www.sec.gov/Archives/edgar/data/1054102/0001054102-16-000097-index.html")</f>
        <v>http://www.sec.gov/Archives/edgar/data/1054102/0001054102-16-000097-index.html</v>
      </c>
    </row>
    <row r="2338" spans="1:6" x14ac:dyDescent="0.2">
      <c r="A2338" t="s">
        <v>2131</v>
      </c>
      <c r="B2338" s="1">
        <v>105744</v>
      </c>
      <c r="C2338" s="1">
        <v>1311</v>
      </c>
      <c r="D2338" s="2">
        <v>42459</v>
      </c>
      <c r="E2338" s="1" t="s">
        <v>18</v>
      </c>
      <c r="F2338" t="str">
        <f>HYPERLINK("http://www.sec.gov/Archives/edgar/data/105744/0001010549-16-000535-index.html")</f>
        <v>http://www.sec.gov/Archives/edgar/data/105744/0001010549-16-000535-index.html</v>
      </c>
    </row>
    <row r="2339" spans="1:6" x14ac:dyDescent="0.2">
      <c r="A2339" t="s">
        <v>2132</v>
      </c>
      <c r="B2339" s="1">
        <v>1058307</v>
      </c>
      <c r="C2339" s="1">
        <v>4813</v>
      </c>
      <c r="D2339" s="2">
        <v>42459</v>
      </c>
      <c r="E2339" s="1" t="s">
        <v>18</v>
      </c>
      <c r="F2339" t="str">
        <f>HYPERLINK("http://www.sec.gov/Archives/edgar/data/1058307/0001415889-16-005378-index.html")</f>
        <v>http://www.sec.gov/Archives/edgar/data/1058307/0001415889-16-005378-index.html</v>
      </c>
    </row>
    <row r="2340" spans="1:6" x14ac:dyDescent="0.2">
      <c r="A2340" t="s">
        <v>2133</v>
      </c>
      <c r="B2340" s="1">
        <v>1060219</v>
      </c>
      <c r="C2340" s="1">
        <v>6035</v>
      </c>
      <c r="D2340" s="2">
        <v>42459</v>
      </c>
      <c r="E2340" s="1" t="s">
        <v>18</v>
      </c>
      <c r="F2340" t="str">
        <f>HYPERLINK("http://www.sec.gov/Archives/edgar/data/1060219/0001554795-16-000606-index.html")</f>
        <v>http://www.sec.gov/Archives/edgar/data/1060219/0001554795-16-000606-index.html</v>
      </c>
    </row>
    <row r="2341" spans="1:6" x14ac:dyDescent="0.2">
      <c r="A2341" t="s">
        <v>2134</v>
      </c>
      <c r="B2341" s="1">
        <v>1062506</v>
      </c>
      <c r="C2341" s="1">
        <v>6770</v>
      </c>
      <c r="D2341" s="2">
        <v>42459</v>
      </c>
      <c r="E2341" s="1" t="s">
        <v>18</v>
      </c>
      <c r="F2341" t="str">
        <f>HYPERLINK("http://www.sec.gov/Archives/edgar/data/1062506/0001548123-16-000510-index.html")</f>
        <v>http://www.sec.gov/Archives/edgar/data/1062506/0001548123-16-000510-index.html</v>
      </c>
    </row>
    <row r="2342" spans="1:6" x14ac:dyDescent="0.2">
      <c r="A2342" t="s">
        <v>2135</v>
      </c>
      <c r="B2342" s="1">
        <v>1063104</v>
      </c>
      <c r="C2342" s="1">
        <v>2834</v>
      </c>
      <c r="D2342" s="2">
        <v>42459</v>
      </c>
      <c r="E2342" s="1" t="s">
        <v>18</v>
      </c>
      <c r="F2342" t="str">
        <f>HYPERLINK("http://www.sec.gov/Archives/edgar/data/1063104/0001019687-16-005675-index.html")</f>
        <v>http://www.sec.gov/Archives/edgar/data/1063104/0001019687-16-005675-index.html</v>
      </c>
    </row>
    <row r="2343" spans="1:6" x14ac:dyDescent="0.2">
      <c r="A2343" t="s">
        <v>2136</v>
      </c>
      <c r="B2343" s="1">
        <v>1063537</v>
      </c>
      <c r="C2343" s="1">
        <v>2040</v>
      </c>
      <c r="D2343" s="2">
        <v>42459</v>
      </c>
      <c r="E2343" s="1" t="s">
        <v>18</v>
      </c>
      <c r="F2343" t="str">
        <f>HYPERLINK("http://www.sec.gov/Archives/edgar/data/1063537/0001140361-16-059519-index.html")</f>
        <v>http://www.sec.gov/Archives/edgar/data/1063537/0001140361-16-059519-index.html</v>
      </c>
    </row>
    <row r="2344" spans="1:6" x14ac:dyDescent="0.2">
      <c r="A2344" t="s">
        <v>2137</v>
      </c>
      <c r="B2344" s="1">
        <v>1065078</v>
      </c>
      <c r="C2344" s="1">
        <v>7372</v>
      </c>
      <c r="D2344" s="2">
        <v>42459</v>
      </c>
      <c r="E2344" s="1" t="s">
        <v>18</v>
      </c>
      <c r="F2344" t="str">
        <f>HYPERLINK("http://www.sec.gov/Archives/edgar/data/1065078/0001072613-16-000745-index.html")</f>
        <v>http://www.sec.gov/Archives/edgar/data/1065078/0001072613-16-000745-index.html</v>
      </c>
    </row>
    <row r="2345" spans="1:6" x14ac:dyDescent="0.2">
      <c r="A2345" t="s">
        <v>2138</v>
      </c>
      <c r="B2345" s="1">
        <v>1065087</v>
      </c>
      <c r="C2345" s="1">
        <v>8731</v>
      </c>
      <c r="D2345" s="2">
        <v>42459</v>
      </c>
      <c r="E2345" s="1" t="s">
        <v>18</v>
      </c>
      <c r="F2345" t="str">
        <f>HYPERLINK("http://www.sec.gov/Archives/edgar/data/1065087/0001144204-16-091051-index.html")</f>
        <v>http://www.sec.gov/Archives/edgar/data/1065087/0001144204-16-091051-index.html</v>
      </c>
    </row>
    <row r="2346" spans="1:6" x14ac:dyDescent="0.2">
      <c r="A2346" t="s">
        <v>2139</v>
      </c>
      <c r="B2346" s="1">
        <v>1065860</v>
      </c>
      <c r="C2346" s="1">
        <v>1700</v>
      </c>
      <c r="D2346" s="2">
        <v>42459</v>
      </c>
      <c r="E2346" s="1" t="s">
        <v>18</v>
      </c>
      <c r="F2346" t="str">
        <f>HYPERLINK("http://www.sec.gov/Archives/edgar/data/1065860/0001104659-16-108701-index.html")</f>
        <v>http://www.sec.gov/Archives/edgar/data/1065860/0001104659-16-108701-index.html</v>
      </c>
    </row>
    <row r="2347" spans="1:6" x14ac:dyDescent="0.2">
      <c r="A2347" t="s">
        <v>2140</v>
      </c>
      <c r="B2347" s="1">
        <v>1069394</v>
      </c>
      <c r="C2347" s="1">
        <v>2890</v>
      </c>
      <c r="D2347" s="2">
        <v>42459</v>
      </c>
      <c r="E2347" s="1" t="s">
        <v>42</v>
      </c>
      <c r="F2347" t="str">
        <f>HYPERLINK("http://www.sec.gov/Archives/edgar/data/1069394/0001354488-16-006808-index.html")</f>
        <v>http://www.sec.gov/Archives/edgar/data/1069394/0001354488-16-006808-index.html</v>
      </c>
    </row>
    <row r="2348" spans="1:6" x14ac:dyDescent="0.2">
      <c r="A2348" t="s">
        <v>2141</v>
      </c>
      <c r="B2348" s="1">
        <v>1078723</v>
      </c>
      <c r="C2348" s="1">
        <v>2911</v>
      </c>
      <c r="D2348" s="2">
        <v>42459</v>
      </c>
      <c r="E2348" s="1" t="s">
        <v>18</v>
      </c>
      <c r="F2348" t="str">
        <f>HYPERLINK("http://www.sec.gov/Archives/edgar/data/1078723/0001477932-16-009357-index.html")</f>
        <v>http://www.sec.gov/Archives/edgar/data/1078723/0001477932-16-009357-index.html</v>
      </c>
    </row>
    <row r="2349" spans="1:6" x14ac:dyDescent="0.2">
      <c r="A2349" t="s">
        <v>2142</v>
      </c>
      <c r="B2349" s="1">
        <v>1084031</v>
      </c>
      <c r="C2349" s="1">
        <v>3569</v>
      </c>
      <c r="D2349" s="2">
        <v>42459</v>
      </c>
      <c r="E2349" s="1" t="s">
        <v>18</v>
      </c>
      <c r="F2349" t="str">
        <f>HYPERLINK("http://www.sec.gov/Archives/edgar/data/1084031/0001493152-16-008447-index.html")</f>
        <v>http://www.sec.gov/Archives/edgar/data/1084031/0001493152-16-008447-index.html</v>
      </c>
    </row>
    <row r="2350" spans="1:6" x14ac:dyDescent="0.2">
      <c r="A2350" t="s">
        <v>1533</v>
      </c>
      <c r="B2350" s="1">
        <v>1084267</v>
      </c>
      <c r="C2350" s="1">
        <v>7310</v>
      </c>
      <c r="D2350" s="2">
        <v>42459</v>
      </c>
      <c r="E2350" s="1" t="s">
        <v>18</v>
      </c>
      <c r="F2350" t="str">
        <f>HYPERLINK("http://www.sec.gov/Archives/edgar/data/1084267/0001019687-16-005670-index.html")</f>
        <v>http://www.sec.gov/Archives/edgar/data/1084267/0001019687-16-005670-index.html</v>
      </c>
    </row>
    <row r="2351" spans="1:6" x14ac:dyDescent="0.2">
      <c r="A2351" t="s">
        <v>2143</v>
      </c>
      <c r="B2351" s="1">
        <v>1084384</v>
      </c>
      <c r="C2351" s="1">
        <v>7373</v>
      </c>
      <c r="D2351" s="2">
        <v>42459</v>
      </c>
      <c r="E2351" s="1" t="s">
        <v>18</v>
      </c>
      <c r="F2351" t="str">
        <f>HYPERLINK("http://www.sec.gov/Archives/edgar/data/1084384/0001144204-16-091642-index.html")</f>
        <v>http://www.sec.gov/Archives/edgar/data/1084384/0001144204-16-091642-index.html</v>
      </c>
    </row>
    <row r="2352" spans="1:6" x14ac:dyDescent="0.2">
      <c r="A2352" t="s">
        <v>2144</v>
      </c>
      <c r="B2352" s="1">
        <v>1088034</v>
      </c>
      <c r="C2352" s="1">
        <v>6099</v>
      </c>
      <c r="D2352" s="2">
        <v>42459</v>
      </c>
      <c r="E2352" s="1" t="s">
        <v>18</v>
      </c>
      <c r="F2352" t="str">
        <f>HYPERLINK("http://www.sec.gov/Archives/edgar/data/1088034/0001171843-16-008902-index.html")</f>
        <v>http://www.sec.gov/Archives/edgar/data/1088034/0001171843-16-008902-index.html</v>
      </c>
    </row>
    <row r="2353" spans="1:6" x14ac:dyDescent="0.2">
      <c r="A2353" t="s">
        <v>2145</v>
      </c>
      <c r="B2353" s="1">
        <v>1089815</v>
      </c>
      <c r="C2353" s="1">
        <v>8093</v>
      </c>
      <c r="D2353" s="2">
        <v>42459</v>
      </c>
      <c r="E2353" s="1" t="s">
        <v>18</v>
      </c>
      <c r="F2353" t="str">
        <f>HYPERLINK("http://www.sec.gov/Archives/edgar/data/1089815/0001140361-16-059518-index.html")</f>
        <v>http://www.sec.gov/Archives/edgar/data/1089815/0001140361-16-059518-index.html</v>
      </c>
    </row>
    <row r="2354" spans="1:6" x14ac:dyDescent="0.2">
      <c r="A2354" t="s">
        <v>2146</v>
      </c>
      <c r="B2354" s="1">
        <v>1090396</v>
      </c>
      <c r="C2354" s="1">
        <v>7990</v>
      </c>
      <c r="D2354" s="2">
        <v>42459</v>
      </c>
      <c r="E2354" s="1" t="s">
        <v>18</v>
      </c>
      <c r="F2354" t="str">
        <f>HYPERLINK("http://www.sec.gov/Archives/edgar/data/1090396/0001144204-16-091605-index.html")</f>
        <v>http://www.sec.gov/Archives/edgar/data/1090396/0001144204-16-091605-index.html</v>
      </c>
    </row>
    <row r="2355" spans="1:6" x14ac:dyDescent="0.2">
      <c r="A2355" t="s">
        <v>2147</v>
      </c>
      <c r="B2355" s="1">
        <v>1091325</v>
      </c>
      <c r="C2355" s="1">
        <v>7310</v>
      </c>
      <c r="D2355" s="2">
        <v>42459</v>
      </c>
      <c r="E2355" s="1" t="s">
        <v>18</v>
      </c>
      <c r="F2355" t="str">
        <f>HYPERLINK("http://www.sec.gov/Archives/edgar/data/1091325/0001213900-16-012083-index.html")</f>
        <v>http://www.sec.gov/Archives/edgar/data/1091325/0001213900-16-012083-index.html</v>
      </c>
    </row>
    <row r="2356" spans="1:6" x14ac:dyDescent="0.2">
      <c r="A2356" t="s">
        <v>2148</v>
      </c>
      <c r="B2356" s="1">
        <v>1091491</v>
      </c>
      <c r="C2356" s="1">
        <v>6035</v>
      </c>
      <c r="D2356" s="2">
        <v>42459</v>
      </c>
      <c r="E2356" s="1" t="s">
        <v>18</v>
      </c>
      <c r="F2356" t="str">
        <f>HYPERLINK("http://www.sec.gov/Archives/edgar/data/1091491/0001552781-16-001482-index.html")</f>
        <v>http://www.sec.gov/Archives/edgar/data/1091491/0001552781-16-001482-index.html</v>
      </c>
    </row>
    <row r="2357" spans="1:6" x14ac:dyDescent="0.2">
      <c r="A2357" t="s">
        <v>1611</v>
      </c>
      <c r="B2357" s="1">
        <v>1091983</v>
      </c>
      <c r="C2357" s="1">
        <v>2090</v>
      </c>
      <c r="D2357" s="2">
        <v>42459</v>
      </c>
      <c r="E2357" s="1" t="s">
        <v>18</v>
      </c>
      <c r="F2357" t="str">
        <f>HYPERLINK("http://www.sec.gov/Archives/edgar/data/1091983/0001548123-16-000518-index.html")</f>
        <v>http://www.sec.gov/Archives/edgar/data/1091983/0001548123-16-000518-index.html</v>
      </c>
    </row>
    <row r="2358" spans="1:6" x14ac:dyDescent="0.2">
      <c r="A2358" t="s">
        <v>2149</v>
      </c>
      <c r="B2358" s="1">
        <v>1092289</v>
      </c>
      <c r="C2358" s="1">
        <v>1382</v>
      </c>
      <c r="D2358" s="2">
        <v>42459</v>
      </c>
      <c r="E2358" s="1" t="s">
        <v>18</v>
      </c>
      <c r="F2358" t="str">
        <f>HYPERLINK("http://www.sec.gov/Archives/edgar/data/1092289/0001564590-16-015647-index.html")</f>
        <v>http://www.sec.gov/Archives/edgar/data/1092289/0001564590-16-015647-index.html</v>
      </c>
    </row>
    <row r="2359" spans="1:6" x14ac:dyDescent="0.2">
      <c r="A2359" t="s">
        <v>2150</v>
      </c>
      <c r="B2359" s="1">
        <v>1094084</v>
      </c>
      <c r="C2359" s="1">
        <v>3822</v>
      </c>
      <c r="D2359" s="2">
        <v>42459</v>
      </c>
      <c r="E2359" s="1" t="s">
        <v>18</v>
      </c>
      <c r="F2359" t="str">
        <f>HYPERLINK("http://www.sec.gov/Archives/edgar/data/1094084/0001019687-16-005641-index.html")</f>
        <v>http://www.sec.gov/Archives/edgar/data/1094084/0001019687-16-005641-index.html</v>
      </c>
    </row>
    <row r="2360" spans="1:6" x14ac:dyDescent="0.2">
      <c r="A2360" t="s">
        <v>2151</v>
      </c>
      <c r="B2360" s="1">
        <v>1094139</v>
      </c>
      <c r="C2360" s="1">
        <v>3089</v>
      </c>
      <c r="D2360" s="2">
        <v>42459</v>
      </c>
      <c r="E2360" s="1" t="s">
        <v>18</v>
      </c>
      <c r="F2360" t="str">
        <f>HYPERLINK("http://www.sec.gov/Archives/edgar/data/1094139/0001144204-16-091108-index.html")</f>
        <v>http://www.sec.gov/Archives/edgar/data/1094139/0001144204-16-091108-index.html</v>
      </c>
    </row>
    <row r="2361" spans="1:6" x14ac:dyDescent="0.2">
      <c r="A2361" t="s">
        <v>2152</v>
      </c>
      <c r="B2361" s="1">
        <v>1098880</v>
      </c>
      <c r="C2361" s="1">
        <v>2834</v>
      </c>
      <c r="D2361" s="2">
        <v>42459</v>
      </c>
      <c r="E2361" s="1" t="s">
        <v>18</v>
      </c>
      <c r="F2361" t="str">
        <f>HYPERLINK("http://www.sec.gov/Archives/edgar/data/1098880/0001062993-16-008565-index.html")</f>
        <v>http://www.sec.gov/Archives/edgar/data/1098880/0001062993-16-008565-index.html</v>
      </c>
    </row>
    <row r="2362" spans="1:6" x14ac:dyDescent="0.2">
      <c r="A2362" t="s">
        <v>2153</v>
      </c>
      <c r="B2362" s="1">
        <v>1099132</v>
      </c>
      <c r="C2362" s="1">
        <v>3690</v>
      </c>
      <c r="D2362" s="2">
        <v>42459</v>
      </c>
      <c r="E2362" s="1" t="s">
        <v>18</v>
      </c>
      <c r="F2362" t="str">
        <f>HYPERLINK("http://www.sec.gov/Archives/edgar/data/1099132/0001477932-16-009327-index.html")</f>
        <v>http://www.sec.gov/Archives/edgar/data/1099132/0001477932-16-009327-index.html</v>
      </c>
    </row>
    <row r="2363" spans="1:6" x14ac:dyDescent="0.2">
      <c r="A2363" t="s">
        <v>2154</v>
      </c>
      <c r="B2363" s="1">
        <v>1101865</v>
      </c>
      <c r="C2363" s="1">
        <v>7372</v>
      </c>
      <c r="D2363" s="2">
        <v>42459</v>
      </c>
      <c r="E2363" s="1" t="s">
        <v>18</v>
      </c>
      <c r="F2363" t="str">
        <f>HYPERLINK("http://www.sec.gov/Archives/edgar/data/1101865/0001393905-16-000807-index.html")</f>
        <v>http://www.sec.gov/Archives/edgar/data/1101865/0001393905-16-000807-index.html</v>
      </c>
    </row>
    <row r="2364" spans="1:6" x14ac:dyDescent="0.2">
      <c r="A2364" t="s">
        <v>2155</v>
      </c>
      <c r="B2364" s="1">
        <v>1102238</v>
      </c>
      <c r="C2364" s="1">
        <v>6510</v>
      </c>
      <c r="D2364" s="2">
        <v>42459</v>
      </c>
      <c r="E2364" s="1" t="s">
        <v>18</v>
      </c>
      <c r="F2364" t="str">
        <f>HYPERLINK("http://www.sec.gov/Archives/edgar/data/1102238/0001387131-16-004813-index.html")</f>
        <v>http://www.sec.gov/Archives/edgar/data/1102238/0001387131-16-004813-index.html</v>
      </c>
    </row>
    <row r="2365" spans="1:6" x14ac:dyDescent="0.2">
      <c r="A2365" t="s">
        <v>2156</v>
      </c>
      <c r="B2365" s="1">
        <v>1103090</v>
      </c>
      <c r="C2365" s="1">
        <v>3821</v>
      </c>
      <c r="D2365" s="2">
        <v>42459</v>
      </c>
      <c r="E2365" s="1" t="s">
        <v>18</v>
      </c>
      <c r="F2365" t="str">
        <f>HYPERLINK("http://www.sec.gov/Archives/edgar/data/1103090/0001548123-16-000514-index.html")</f>
        <v>http://www.sec.gov/Archives/edgar/data/1103090/0001548123-16-000514-index.html</v>
      </c>
    </row>
    <row r="2366" spans="1:6" x14ac:dyDescent="0.2">
      <c r="A2366" t="s">
        <v>2157</v>
      </c>
      <c r="B2366" s="1">
        <v>1104038</v>
      </c>
      <c r="C2366" s="1">
        <v>6794</v>
      </c>
      <c r="D2366" s="2">
        <v>42459</v>
      </c>
      <c r="E2366" s="1" t="s">
        <v>18</v>
      </c>
      <c r="F2366" t="str">
        <f>HYPERLINK("http://www.sec.gov/Archives/edgar/data/1104038/0001214659-16-010550-index.html")</f>
        <v>http://www.sec.gov/Archives/edgar/data/1104038/0001214659-16-010550-index.html</v>
      </c>
    </row>
    <row r="2367" spans="1:6" x14ac:dyDescent="0.2">
      <c r="A2367" t="s">
        <v>2158</v>
      </c>
      <c r="B2367" s="1">
        <v>1104265</v>
      </c>
      <c r="C2367" s="1">
        <v>8742</v>
      </c>
      <c r="D2367" s="2">
        <v>42459</v>
      </c>
      <c r="E2367" s="1" t="s">
        <v>18</v>
      </c>
      <c r="F2367" t="str">
        <f>HYPERLINK("http://www.sec.gov/Archives/edgar/data/1104265/0001213900-16-012084-index.html")</f>
        <v>http://www.sec.gov/Archives/edgar/data/1104265/0001213900-16-012084-index.html</v>
      </c>
    </row>
    <row r="2368" spans="1:6" x14ac:dyDescent="0.2">
      <c r="A2368" t="s">
        <v>2159</v>
      </c>
      <c r="B2368" s="1">
        <v>1105533</v>
      </c>
      <c r="C2368" s="1">
        <v>2834</v>
      </c>
      <c r="D2368" s="2">
        <v>42459</v>
      </c>
      <c r="E2368" s="1" t="s">
        <v>18</v>
      </c>
      <c r="F2368" t="str">
        <f>HYPERLINK("http://www.sec.gov/Archives/edgar/data/1105533/0001171843-16-008919-index.html")</f>
        <v>http://www.sec.gov/Archives/edgar/data/1105533/0001171843-16-008919-index.html</v>
      </c>
    </row>
    <row r="2369" spans="1:6" x14ac:dyDescent="0.2">
      <c r="A2369" t="s">
        <v>2160</v>
      </c>
      <c r="B2369" s="1">
        <v>1106644</v>
      </c>
      <c r="C2369" s="1">
        <v>2834</v>
      </c>
      <c r="D2369" s="2">
        <v>42459</v>
      </c>
      <c r="E2369" s="1" t="s">
        <v>18</v>
      </c>
      <c r="F2369" t="str">
        <f>HYPERLINK("http://www.sec.gov/Archives/edgar/data/1106644/0001010549-16-000541-index.html")</f>
        <v>http://www.sec.gov/Archives/edgar/data/1106644/0001010549-16-000541-index.html</v>
      </c>
    </row>
    <row r="2370" spans="1:6" x14ac:dyDescent="0.2">
      <c r="A2370" t="s">
        <v>2161</v>
      </c>
      <c r="B2370" s="1">
        <v>1108348</v>
      </c>
      <c r="C2370" s="1">
        <v>6189</v>
      </c>
      <c r="D2370" s="2">
        <v>42459</v>
      </c>
      <c r="E2370" s="1" t="s">
        <v>18</v>
      </c>
      <c r="F2370" t="str">
        <f>HYPERLINK("http://www.sec.gov/Archives/edgar/data/1108348/0001193125-16-522930-index.html")</f>
        <v>http://www.sec.gov/Archives/edgar/data/1108348/0001193125-16-522930-index.html</v>
      </c>
    </row>
    <row r="2371" spans="1:6" x14ac:dyDescent="0.2">
      <c r="A2371" t="s">
        <v>2162</v>
      </c>
      <c r="B2371" s="1">
        <v>1108645</v>
      </c>
      <c r="C2371" s="1">
        <v>1382</v>
      </c>
      <c r="D2371" s="2">
        <v>42459</v>
      </c>
      <c r="E2371" s="1" t="s">
        <v>18</v>
      </c>
      <c r="F2371" t="str">
        <f>HYPERLINK("http://www.sec.gov/Archives/edgar/data/1108645/0001387131-16-004819-index.html")</f>
        <v>http://www.sec.gov/Archives/edgar/data/1108645/0001387131-16-004819-index.html</v>
      </c>
    </row>
    <row r="2372" spans="1:6" x14ac:dyDescent="0.2">
      <c r="A2372" t="s">
        <v>2163</v>
      </c>
      <c r="B2372" s="1">
        <v>1117733</v>
      </c>
      <c r="C2372" s="1">
        <v>5900</v>
      </c>
      <c r="D2372" s="2">
        <v>42459</v>
      </c>
      <c r="E2372" s="1" t="s">
        <v>18</v>
      </c>
      <c r="F2372" t="str">
        <f>HYPERLINK("http://www.sec.gov/Archives/edgar/data/1117733/0001117733-16-000012-index.html")</f>
        <v>http://www.sec.gov/Archives/edgar/data/1117733/0001117733-16-000012-index.html</v>
      </c>
    </row>
    <row r="2373" spans="1:6" x14ac:dyDescent="0.2">
      <c r="A2373" t="s">
        <v>2164</v>
      </c>
      <c r="B2373" s="1">
        <v>1118384</v>
      </c>
      <c r="C2373" s="1">
        <v>6221</v>
      </c>
      <c r="D2373" s="2">
        <v>42459</v>
      </c>
      <c r="E2373" s="1" t="s">
        <v>18</v>
      </c>
      <c r="F2373" t="str">
        <f>HYPERLINK("http://www.sec.gov/Archives/edgar/data/1118384/0001118384-16-000012-index.html")</f>
        <v>http://www.sec.gov/Archives/edgar/data/1118384/0001118384-16-000012-index.html</v>
      </c>
    </row>
    <row r="2374" spans="1:6" x14ac:dyDescent="0.2">
      <c r="A2374" t="s">
        <v>2165</v>
      </c>
      <c r="B2374" s="1">
        <v>1125699</v>
      </c>
      <c r="C2374" s="1">
        <v>3990</v>
      </c>
      <c r="D2374" s="2">
        <v>42459</v>
      </c>
      <c r="E2374" s="1" t="s">
        <v>18</v>
      </c>
      <c r="F2374" t="str">
        <f>HYPERLINK("http://www.sec.gov/Archives/edgar/data/1125699/0001477932-16-009311-index.html")</f>
        <v>http://www.sec.gov/Archives/edgar/data/1125699/0001477932-16-009311-index.html</v>
      </c>
    </row>
    <row r="2375" spans="1:6" x14ac:dyDescent="0.2">
      <c r="A2375" t="s">
        <v>2166</v>
      </c>
      <c r="B2375" s="1">
        <v>1127245</v>
      </c>
      <c r="C2375" s="1">
        <v>6512</v>
      </c>
      <c r="D2375" s="2">
        <v>42459</v>
      </c>
      <c r="E2375" s="1" t="s">
        <v>18</v>
      </c>
      <c r="F2375" t="str">
        <f>HYPERLINK("http://www.sec.gov/Archives/edgar/data/1127245/0001127245-16-000023-index.html")</f>
        <v>http://www.sec.gov/Archives/edgar/data/1127245/0001127245-16-000023-index.html</v>
      </c>
    </row>
    <row r="2376" spans="1:6" x14ac:dyDescent="0.2">
      <c r="A2376" t="s">
        <v>2167</v>
      </c>
      <c r="B2376" s="1">
        <v>1128189</v>
      </c>
      <c r="C2376" s="1">
        <v>2834</v>
      </c>
      <c r="D2376" s="2">
        <v>42459</v>
      </c>
      <c r="E2376" s="1" t="s">
        <v>18</v>
      </c>
      <c r="F2376" t="str">
        <f>HYPERLINK("http://www.sec.gov/Archives/edgar/data/1128189/0001079973-16-000885-index.html")</f>
        <v>http://www.sec.gov/Archives/edgar/data/1128189/0001079973-16-000885-index.html</v>
      </c>
    </row>
    <row r="2377" spans="1:6" x14ac:dyDescent="0.2">
      <c r="A2377" t="s">
        <v>2168</v>
      </c>
      <c r="B2377" s="1">
        <v>1133869</v>
      </c>
      <c r="C2377" s="1">
        <v>2834</v>
      </c>
      <c r="D2377" s="2">
        <v>42459</v>
      </c>
      <c r="E2377" s="1" t="s">
        <v>18</v>
      </c>
      <c r="F2377" t="str">
        <f>HYPERLINK("http://www.sec.gov/Archives/edgar/data/1133869/0001144204-16-091632-index.html")</f>
        <v>http://www.sec.gov/Archives/edgar/data/1133869/0001144204-16-091632-index.html</v>
      </c>
    </row>
    <row r="2378" spans="1:6" x14ac:dyDescent="0.2">
      <c r="A2378" t="s">
        <v>2169</v>
      </c>
      <c r="B2378" s="1">
        <v>1136174</v>
      </c>
      <c r="C2378" s="1">
        <v>8090</v>
      </c>
      <c r="D2378" s="2">
        <v>42459</v>
      </c>
      <c r="E2378" s="1" t="s">
        <v>18</v>
      </c>
      <c r="F2378" t="str">
        <f>HYPERLINK("http://www.sec.gov/Archives/edgar/data/1136174/0001437749-16-028684-index.html")</f>
        <v>http://www.sec.gov/Archives/edgar/data/1136174/0001437749-16-028684-index.html</v>
      </c>
    </row>
    <row r="2379" spans="1:6" x14ac:dyDescent="0.2">
      <c r="A2379" t="s">
        <v>2170</v>
      </c>
      <c r="B2379" s="1">
        <v>1138476</v>
      </c>
      <c r="C2379" s="1">
        <v>8090</v>
      </c>
      <c r="D2379" s="2">
        <v>42459</v>
      </c>
      <c r="E2379" s="1" t="s">
        <v>18</v>
      </c>
      <c r="F2379" t="str">
        <f>HYPERLINK("http://www.sec.gov/Archives/edgar/data/1138476/0001185185-16-004075-index.html")</f>
        <v>http://www.sec.gov/Archives/edgar/data/1138476/0001185185-16-004075-index.html</v>
      </c>
    </row>
    <row r="2380" spans="1:6" x14ac:dyDescent="0.2">
      <c r="A2380" t="s">
        <v>2171</v>
      </c>
      <c r="B2380" s="1">
        <v>1141615</v>
      </c>
      <c r="C2380" s="1">
        <v>7350</v>
      </c>
      <c r="D2380" s="2">
        <v>42459</v>
      </c>
      <c r="E2380" s="1" t="s">
        <v>18</v>
      </c>
      <c r="F2380" t="str">
        <f>HYPERLINK("http://www.sec.gov/Archives/edgar/data/1141615/0001376474-16-000636-index.html")</f>
        <v>http://www.sec.gov/Archives/edgar/data/1141615/0001376474-16-000636-index.html</v>
      </c>
    </row>
    <row r="2381" spans="1:6" x14ac:dyDescent="0.2">
      <c r="A2381" t="s">
        <v>2172</v>
      </c>
      <c r="B2381" s="1">
        <v>1141788</v>
      </c>
      <c r="C2381" s="1">
        <v>6794</v>
      </c>
      <c r="D2381" s="2">
        <v>42459</v>
      </c>
      <c r="E2381" s="1" t="s">
        <v>18</v>
      </c>
      <c r="F2381" t="str">
        <f>HYPERLINK("http://www.sec.gov/Archives/edgar/data/1141788/0001571049-16-013492-index.html")</f>
        <v>http://www.sec.gov/Archives/edgar/data/1141788/0001571049-16-013492-index.html</v>
      </c>
    </row>
    <row r="2382" spans="1:6" x14ac:dyDescent="0.2">
      <c r="A2382" t="s">
        <v>2173</v>
      </c>
      <c r="B2382" s="1">
        <v>1142412</v>
      </c>
      <c r="C2382" s="1">
        <v>4833</v>
      </c>
      <c r="D2382" s="2">
        <v>42459</v>
      </c>
      <c r="E2382" s="1" t="s">
        <v>18</v>
      </c>
      <c r="F2382" t="str">
        <f>HYPERLINK("http://www.sec.gov/Archives/edgar/data/1142412/0001564590-16-015615-index.html")</f>
        <v>http://www.sec.gov/Archives/edgar/data/1142412/0001564590-16-015615-index.html</v>
      </c>
    </row>
    <row r="2383" spans="1:6" x14ac:dyDescent="0.2">
      <c r="A2383" t="s">
        <v>2174</v>
      </c>
      <c r="B2383" s="1">
        <v>1157762</v>
      </c>
      <c r="C2383" s="1">
        <v>3714</v>
      </c>
      <c r="D2383" s="2">
        <v>42459</v>
      </c>
      <c r="E2383" s="1" t="s">
        <v>18</v>
      </c>
      <c r="F2383" t="str">
        <f>HYPERLINK("http://www.sec.gov/Archives/edgar/data/1157762/0001144204-16-091114-index.html")</f>
        <v>http://www.sec.gov/Archives/edgar/data/1157762/0001144204-16-091114-index.html</v>
      </c>
    </row>
    <row r="2384" spans="1:6" x14ac:dyDescent="0.2">
      <c r="A2384" t="s">
        <v>2175</v>
      </c>
      <c r="B2384" s="1">
        <v>1158419</v>
      </c>
      <c r="C2384" s="1">
        <v>7500</v>
      </c>
      <c r="D2384" s="2">
        <v>42459</v>
      </c>
      <c r="E2384" s="1" t="s">
        <v>18</v>
      </c>
      <c r="F2384" t="str">
        <f>HYPERLINK("http://www.sec.gov/Archives/edgar/data/1158419/0001214659-16-010510-index.html")</f>
        <v>http://www.sec.gov/Archives/edgar/data/1158419/0001214659-16-010510-index.html</v>
      </c>
    </row>
    <row r="2385" spans="1:6" x14ac:dyDescent="0.2">
      <c r="A2385" t="s">
        <v>2176</v>
      </c>
      <c r="B2385" s="1">
        <v>1161706</v>
      </c>
      <c r="C2385" s="1">
        <v>4813</v>
      </c>
      <c r="D2385" s="2">
        <v>42459</v>
      </c>
      <c r="E2385" s="1" t="s">
        <v>18</v>
      </c>
      <c r="F2385" t="str">
        <f>HYPERLINK("http://www.sec.gov/Archives/edgar/data/1161706/0001019687-16-005632-index.html")</f>
        <v>http://www.sec.gov/Archives/edgar/data/1161706/0001019687-16-005632-index.html</v>
      </c>
    </row>
    <row r="2386" spans="1:6" x14ac:dyDescent="0.2">
      <c r="A2386" t="s">
        <v>2177</v>
      </c>
      <c r="B2386" s="1">
        <v>1163612</v>
      </c>
      <c r="C2386" s="1">
        <v>6770</v>
      </c>
      <c r="D2386" s="2">
        <v>42459</v>
      </c>
      <c r="E2386" s="1" t="s">
        <v>18</v>
      </c>
      <c r="F2386" t="str">
        <f>HYPERLINK("http://www.sec.gov/Archives/edgar/data/1163612/0001104659-16-108577-index.html")</f>
        <v>http://www.sec.gov/Archives/edgar/data/1163612/0001104659-16-108577-index.html</v>
      </c>
    </row>
    <row r="2387" spans="1:6" x14ac:dyDescent="0.2">
      <c r="A2387" t="s">
        <v>2178</v>
      </c>
      <c r="B2387" s="1">
        <v>1166388</v>
      </c>
      <c r="C2387" s="1">
        <v>7373</v>
      </c>
      <c r="D2387" s="2">
        <v>42459</v>
      </c>
      <c r="E2387" s="1" t="s">
        <v>18</v>
      </c>
      <c r="F2387" t="str">
        <f>HYPERLINK("http://www.sec.gov/Archives/edgar/data/1166388/0001166388-16-000180-index.html")</f>
        <v>http://www.sec.gov/Archives/edgar/data/1166388/0001166388-16-000180-index.html</v>
      </c>
    </row>
    <row r="2388" spans="1:6" x14ac:dyDescent="0.2">
      <c r="A2388" t="s">
        <v>2179</v>
      </c>
      <c r="B2388" s="1">
        <v>1166708</v>
      </c>
      <c r="C2388" s="1">
        <v>3949</v>
      </c>
      <c r="D2388" s="2">
        <v>42459</v>
      </c>
      <c r="E2388" s="1" t="s">
        <v>18</v>
      </c>
      <c r="F2388" t="str">
        <f>HYPERLINK("http://www.sec.gov/Archives/edgar/data/1166708/0001144204-16-091054-index.html")</f>
        <v>http://www.sec.gov/Archives/edgar/data/1166708/0001144204-16-091054-index.html</v>
      </c>
    </row>
    <row r="2389" spans="1:6" x14ac:dyDescent="0.2">
      <c r="A2389" t="s">
        <v>2180</v>
      </c>
      <c r="B2389" s="1">
        <v>1168220</v>
      </c>
      <c r="C2389" s="1">
        <v>2834</v>
      </c>
      <c r="D2389" s="2">
        <v>42459</v>
      </c>
      <c r="E2389" s="1" t="s">
        <v>18</v>
      </c>
      <c r="F2389" t="str">
        <f>HYPERLINK("http://www.sec.gov/Archives/edgar/data/1168220/0001168220-16-000159-index.html")</f>
        <v>http://www.sec.gov/Archives/edgar/data/1168220/0001168220-16-000159-index.html</v>
      </c>
    </row>
    <row r="2390" spans="1:6" x14ac:dyDescent="0.2">
      <c r="A2390" t="s">
        <v>2181</v>
      </c>
      <c r="B2390" s="1">
        <v>1171012</v>
      </c>
      <c r="C2390" s="1">
        <v>3679</v>
      </c>
      <c r="D2390" s="2">
        <v>42459</v>
      </c>
      <c r="E2390" s="1" t="s">
        <v>18</v>
      </c>
      <c r="F2390" t="str">
        <f>HYPERLINK("http://www.sec.gov/Archives/edgar/data/1171012/0001185185-16-004071-index.html")</f>
        <v>http://www.sec.gov/Archives/edgar/data/1171012/0001185185-16-004071-index.html</v>
      </c>
    </row>
    <row r="2391" spans="1:6" x14ac:dyDescent="0.2">
      <c r="A2391" t="s">
        <v>2182</v>
      </c>
      <c r="B2391" s="1">
        <v>1171040</v>
      </c>
      <c r="C2391" s="1">
        <v>6189</v>
      </c>
      <c r="D2391" s="2">
        <v>42459</v>
      </c>
      <c r="E2391" s="1" t="s">
        <v>18</v>
      </c>
      <c r="F2391" t="str">
        <f>HYPERLINK("http://www.sec.gov/Archives/edgar/data/1171040/0001193125-16-523880-index.html")</f>
        <v>http://www.sec.gov/Archives/edgar/data/1171040/0001193125-16-523880-index.html</v>
      </c>
    </row>
    <row r="2392" spans="1:6" x14ac:dyDescent="0.2">
      <c r="A2392" t="s">
        <v>2183</v>
      </c>
      <c r="B2392" s="1">
        <v>1174672</v>
      </c>
      <c r="C2392" s="1">
        <v>7389</v>
      </c>
      <c r="D2392" s="2">
        <v>42459</v>
      </c>
      <c r="E2392" s="1" t="s">
        <v>18</v>
      </c>
      <c r="F2392" t="str">
        <f>HYPERLINK("http://www.sec.gov/Archives/edgar/data/1174672/0000721748-16-001126-index.html")</f>
        <v>http://www.sec.gov/Archives/edgar/data/1174672/0000721748-16-001126-index.html</v>
      </c>
    </row>
    <row r="2393" spans="1:6" x14ac:dyDescent="0.2">
      <c r="A2393" t="s">
        <v>2184</v>
      </c>
      <c r="B2393" s="1">
        <v>1174821</v>
      </c>
      <c r="C2393" s="1">
        <v>6189</v>
      </c>
      <c r="D2393" s="2">
        <v>42459</v>
      </c>
      <c r="E2393" s="1" t="s">
        <v>18</v>
      </c>
      <c r="F2393" t="str">
        <f>HYPERLINK("http://www.sec.gov/Archives/edgar/data/1174821/0001193125-16-523759-index.html")</f>
        <v>http://www.sec.gov/Archives/edgar/data/1174821/0001193125-16-523759-index.html</v>
      </c>
    </row>
    <row r="2394" spans="1:6" x14ac:dyDescent="0.2">
      <c r="A2394" t="s">
        <v>2185</v>
      </c>
      <c r="B2394" s="1">
        <v>1174891</v>
      </c>
      <c r="C2394" s="1">
        <v>6798</v>
      </c>
      <c r="D2394" s="2">
        <v>42459</v>
      </c>
      <c r="E2394" s="1" t="s">
        <v>18</v>
      </c>
      <c r="F2394" t="str">
        <f>HYPERLINK("http://www.sec.gov/Archives/edgar/data/1174891/0001493152-16-008458-index.html")</f>
        <v>http://www.sec.gov/Archives/edgar/data/1174891/0001493152-16-008458-index.html</v>
      </c>
    </row>
    <row r="2395" spans="1:6" x14ac:dyDescent="0.2">
      <c r="A2395" t="s">
        <v>1573</v>
      </c>
      <c r="B2395" s="1">
        <v>1174940</v>
      </c>
      <c r="C2395" s="1">
        <v>2834</v>
      </c>
      <c r="D2395" s="2">
        <v>42459</v>
      </c>
      <c r="E2395" s="1" t="s">
        <v>18</v>
      </c>
      <c r="F2395" t="str">
        <f>HYPERLINK("http://www.sec.gov/Archives/edgar/data/1174940/0001193125-16-523810-index.html")</f>
        <v>http://www.sec.gov/Archives/edgar/data/1174940/0001193125-16-523810-index.html</v>
      </c>
    </row>
    <row r="2396" spans="1:6" x14ac:dyDescent="0.2">
      <c r="A2396" t="s">
        <v>2186</v>
      </c>
      <c r="B2396" s="1">
        <v>1176334</v>
      </c>
      <c r="C2396" s="1">
        <v>5171</v>
      </c>
      <c r="D2396" s="2">
        <v>42459</v>
      </c>
      <c r="E2396" s="1" t="s">
        <v>42</v>
      </c>
      <c r="F2396" t="str">
        <f>HYPERLINK("http://www.sec.gov/Archives/edgar/data/1176334/0001176334-16-000190-index.html")</f>
        <v>http://www.sec.gov/Archives/edgar/data/1176334/0001176334-16-000190-index.html</v>
      </c>
    </row>
    <row r="2397" spans="1:6" x14ac:dyDescent="0.2">
      <c r="A2397" t="s">
        <v>2187</v>
      </c>
      <c r="B2397" s="1">
        <v>1178049</v>
      </c>
      <c r="C2397" s="1">
        <v>6189</v>
      </c>
      <c r="D2397" s="2">
        <v>42459</v>
      </c>
      <c r="E2397" s="1" t="s">
        <v>18</v>
      </c>
      <c r="F2397" t="str">
        <f>HYPERLINK("http://www.sec.gov/Archives/edgar/data/1178049/0000930413-16-006268-index.html")</f>
        <v>http://www.sec.gov/Archives/edgar/data/1178049/0000930413-16-006268-index.html</v>
      </c>
    </row>
    <row r="2398" spans="1:6" x14ac:dyDescent="0.2">
      <c r="A2398" t="s">
        <v>2187</v>
      </c>
      <c r="B2398" s="1">
        <v>1178049</v>
      </c>
      <c r="C2398" s="1">
        <v>6189</v>
      </c>
      <c r="D2398" s="2">
        <v>42459</v>
      </c>
      <c r="E2398" s="1" t="s">
        <v>18</v>
      </c>
      <c r="F2398" t="str">
        <f>HYPERLINK("http://www.sec.gov/Archives/edgar/data/1178049/0000930413-16-006269-index.html")</f>
        <v>http://www.sec.gov/Archives/edgar/data/1178049/0000930413-16-006269-index.html</v>
      </c>
    </row>
    <row r="2399" spans="1:6" x14ac:dyDescent="0.2">
      <c r="A2399" t="s">
        <v>1188</v>
      </c>
      <c r="B2399" s="1">
        <v>1182534</v>
      </c>
      <c r="C2399" s="1">
        <v>6189</v>
      </c>
      <c r="D2399" s="2">
        <v>42459</v>
      </c>
      <c r="E2399" s="1" t="s">
        <v>18</v>
      </c>
      <c r="F2399" t="str">
        <f>HYPERLINK("http://www.sec.gov/Archives/edgar/data/1182534/0001193125-16-523391-index.html")</f>
        <v>http://www.sec.gov/Archives/edgar/data/1182534/0001193125-16-523391-index.html</v>
      </c>
    </row>
    <row r="2400" spans="1:6" x14ac:dyDescent="0.2">
      <c r="A2400" t="s">
        <v>1188</v>
      </c>
      <c r="B2400" s="1">
        <v>1182534</v>
      </c>
      <c r="C2400" s="1">
        <v>6189</v>
      </c>
      <c r="D2400" s="2">
        <v>42459</v>
      </c>
      <c r="E2400" s="1" t="s">
        <v>18</v>
      </c>
      <c r="F2400" t="str">
        <f>HYPERLINK("http://www.sec.gov/Archives/edgar/data/1182534/0001193125-16-523415-index.html")</f>
        <v>http://www.sec.gov/Archives/edgar/data/1182534/0001193125-16-523415-index.html</v>
      </c>
    </row>
    <row r="2401" spans="1:6" x14ac:dyDescent="0.2">
      <c r="A2401" t="s">
        <v>1188</v>
      </c>
      <c r="B2401" s="1">
        <v>1182534</v>
      </c>
      <c r="C2401" s="1">
        <v>6189</v>
      </c>
      <c r="D2401" s="2">
        <v>42459</v>
      </c>
      <c r="E2401" s="1" t="s">
        <v>18</v>
      </c>
      <c r="F2401" t="str">
        <f>HYPERLINK("http://www.sec.gov/Archives/edgar/data/1182534/0001193125-16-523453-index.html")</f>
        <v>http://www.sec.gov/Archives/edgar/data/1182534/0001193125-16-523453-index.html</v>
      </c>
    </row>
    <row r="2402" spans="1:6" x14ac:dyDescent="0.2">
      <c r="A2402" t="s">
        <v>2188</v>
      </c>
      <c r="B2402" s="1">
        <v>1186258</v>
      </c>
      <c r="C2402" s="1">
        <v>7359</v>
      </c>
      <c r="D2402" s="2">
        <v>42459</v>
      </c>
      <c r="E2402" s="1" t="s">
        <v>18</v>
      </c>
      <c r="F2402" t="str">
        <f>HYPERLINK("http://www.sec.gov/Archives/edgar/data/1186258/0001144204-16-091085-index.html")</f>
        <v>http://www.sec.gov/Archives/edgar/data/1186258/0001144204-16-091085-index.html</v>
      </c>
    </row>
    <row r="2403" spans="1:6" x14ac:dyDescent="0.2">
      <c r="A2403" t="s">
        <v>2189</v>
      </c>
      <c r="B2403" s="1">
        <v>1195116</v>
      </c>
      <c r="C2403" s="1">
        <v>2834</v>
      </c>
      <c r="D2403" s="2">
        <v>42459</v>
      </c>
      <c r="E2403" s="1" t="s">
        <v>18</v>
      </c>
      <c r="F2403" t="str">
        <f>HYPERLINK("http://www.sec.gov/Archives/edgar/data/1195116/0001144204-16-091477-index.html")</f>
        <v>http://www.sec.gov/Archives/edgar/data/1195116/0001144204-16-091477-index.html</v>
      </c>
    </row>
    <row r="2404" spans="1:6" x14ac:dyDescent="0.2">
      <c r="A2404" t="s">
        <v>2190</v>
      </c>
      <c r="B2404" s="1">
        <v>1196298</v>
      </c>
      <c r="C2404" s="1">
        <v>3841</v>
      </c>
      <c r="D2404" s="2">
        <v>42459</v>
      </c>
      <c r="E2404" s="1" t="s">
        <v>18</v>
      </c>
      <c r="F2404" t="str">
        <f>HYPERLINK("http://www.sec.gov/Archives/edgar/data/1196298/0001493152-16-008366-index.html")</f>
        <v>http://www.sec.gov/Archives/edgar/data/1196298/0001493152-16-008366-index.html</v>
      </c>
    </row>
    <row r="2405" spans="1:6" x14ac:dyDescent="0.2">
      <c r="A2405" t="s">
        <v>2191</v>
      </c>
      <c r="B2405" s="1">
        <v>1198415</v>
      </c>
      <c r="C2405" s="1">
        <v>6221</v>
      </c>
      <c r="D2405" s="2">
        <v>42459</v>
      </c>
      <c r="E2405" s="1" t="s">
        <v>18</v>
      </c>
      <c r="F2405" t="str">
        <f>HYPERLINK("http://www.sec.gov/Archives/edgar/data/1198415/0001398344-16-011434-index.html")</f>
        <v>http://www.sec.gov/Archives/edgar/data/1198415/0001398344-16-011434-index.html</v>
      </c>
    </row>
    <row r="2406" spans="1:6" x14ac:dyDescent="0.2">
      <c r="A2406" t="s">
        <v>2192</v>
      </c>
      <c r="B2406" s="1">
        <v>1208261</v>
      </c>
      <c r="C2406" s="1">
        <v>2834</v>
      </c>
      <c r="D2406" s="2">
        <v>42459</v>
      </c>
      <c r="E2406" s="1" t="s">
        <v>18</v>
      </c>
      <c r="F2406" t="str">
        <f>HYPERLINK("http://www.sec.gov/Archives/edgar/data/1208261/0001144204-16-091621-index.html")</f>
        <v>http://www.sec.gov/Archives/edgar/data/1208261/0001144204-16-091621-index.html</v>
      </c>
    </row>
    <row r="2407" spans="1:6" x14ac:dyDescent="0.2">
      <c r="A2407" t="s">
        <v>2193</v>
      </c>
      <c r="B2407" s="1">
        <v>1213660</v>
      </c>
      <c r="C2407" s="1">
        <v>3490</v>
      </c>
      <c r="D2407" s="2">
        <v>42459</v>
      </c>
      <c r="E2407" s="1" t="s">
        <v>18</v>
      </c>
      <c r="F2407" t="str">
        <f>HYPERLINK("http://www.sec.gov/Archives/edgar/data/1213660/0001144204-16-091133-index.html")</f>
        <v>http://www.sec.gov/Archives/edgar/data/1213660/0001144204-16-091133-index.html</v>
      </c>
    </row>
    <row r="2408" spans="1:6" x14ac:dyDescent="0.2">
      <c r="A2408" t="s">
        <v>2194</v>
      </c>
      <c r="B2408" s="1">
        <v>1226006</v>
      </c>
      <c r="C2408" s="1">
        <v>6189</v>
      </c>
      <c r="D2408" s="2">
        <v>42459</v>
      </c>
      <c r="E2408" s="1" t="s">
        <v>18</v>
      </c>
      <c r="F2408" t="str">
        <f>HYPERLINK("http://www.sec.gov/Archives/edgar/data/1226006/0001144204-16-091508-index.html")</f>
        <v>http://www.sec.gov/Archives/edgar/data/1226006/0001144204-16-091508-index.html</v>
      </c>
    </row>
    <row r="2409" spans="1:6" x14ac:dyDescent="0.2">
      <c r="A2409" t="s">
        <v>2195</v>
      </c>
      <c r="B2409" s="1">
        <v>1230634</v>
      </c>
      <c r="C2409" s="1">
        <v>6531</v>
      </c>
      <c r="D2409" s="2">
        <v>42459</v>
      </c>
      <c r="E2409" s="1" t="s">
        <v>18</v>
      </c>
      <c r="F2409" t="str">
        <f>HYPERLINK("http://www.sec.gov/Archives/edgar/data/1230634/0001327603-16-000030-index.html")</f>
        <v>http://www.sec.gov/Archives/edgar/data/1230634/0001327603-16-000030-index.html</v>
      </c>
    </row>
    <row r="2410" spans="1:6" x14ac:dyDescent="0.2">
      <c r="A2410" t="s">
        <v>2196</v>
      </c>
      <c r="B2410" s="1">
        <v>1236275</v>
      </c>
      <c r="C2410" s="1">
        <v>7389</v>
      </c>
      <c r="D2410" s="2">
        <v>42459</v>
      </c>
      <c r="E2410" s="1" t="s">
        <v>18</v>
      </c>
      <c r="F2410" t="str">
        <f>HYPERLINK("http://www.sec.gov/Archives/edgar/data/1236275/0001185185-16-004077-index.html")</f>
        <v>http://www.sec.gov/Archives/edgar/data/1236275/0001185185-16-004077-index.html</v>
      </c>
    </row>
    <row r="2411" spans="1:6" x14ac:dyDescent="0.2">
      <c r="A2411" t="s">
        <v>2197</v>
      </c>
      <c r="B2411" s="1">
        <v>1245791</v>
      </c>
      <c r="C2411" s="1">
        <v>3841</v>
      </c>
      <c r="D2411" s="2">
        <v>42459</v>
      </c>
      <c r="E2411" s="1" t="s">
        <v>18</v>
      </c>
      <c r="F2411" t="str">
        <f>HYPERLINK("http://www.sec.gov/Archives/edgar/data/1245791/0001193125-16-524025-index.html")</f>
        <v>http://www.sec.gov/Archives/edgar/data/1245791/0001193125-16-524025-index.html</v>
      </c>
    </row>
    <row r="2412" spans="1:6" x14ac:dyDescent="0.2">
      <c r="A2412" t="s">
        <v>2198</v>
      </c>
      <c r="B2412" s="1">
        <v>1253347</v>
      </c>
      <c r="C2412" s="1">
        <v>7350</v>
      </c>
      <c r="D2412" s="2">
        <v>42459</v>
      </c>
      <c r="E2412" s="1" t="s">
        <v>18</v>
      </c>
      <c r="F2412" t="str">
        <f>HYPERLINK("http://www.sec.gov/Archives/edgar/data/1253347/0001376474-16-000635-index.html")</f>
        <v>http://www.sec.gov/Archives/edgar/data/1253347/0001376474-16-000635-index.html</v>
      </c>
    </row>
    <row r="2413" spans="1:6" x14ac:dyDescent="0.2">
      <c r="A2413" t="s">
        <v>2199</v>
      </c>
      <c r="B2413" s="1">
        <v>1261379</v>
      </c>
      <c r="C2413" s="1">
        <v>6221</v>
      </c>
      <c r="D2413" s="2">
        <v>42459</v>
      </c>
      <c r="E2413" s="1" t="s">
        <v>18</v>
      </c>
      <c r="F2413" t="str">
        <f>HYPERLINK("http://www.sec.gov/Archives/edgar/data/1261379/0001193125-16-524032-index.html")</f>
        <v>http://www.sec.gov/Archives/edgar/data/1261379/0001193125-16-524032-index.html</v>
      </c>
    </row>
    <row r="2414" spans="1:6" x14ac:dyDescent="0.2">
      <c r="A2414" t="s">
        <v>2200</v>
      </c>
      <c r="B2414" s="1">
        <v>1263364</v>
      </c>
      <c r="C2414" s="1">
        <v>9995</v>
      </c>
      <c r="D2414" s="2">
        <v>42459</v>
      </c>
      <c r="E2414" s="1" t="s">
        <v>18</v>
      </c>
      <c r="F2414" t="str">
        <f>HYPERLINK("http://www.sec.gov/Archives/edgar/data/1263364/0001213900-16-011993-index.html")</f>
        <v>http://www.sec.gov/Archives/edgar/data/1263364/0001213900-16-011993-index.html</v>
      </c>
    </row>
    <row r="2415" spans="1:6" x14ac:dyDescent="0.2">
      <c r="A2415" t="s">
        <v>2201</v>
      </c>
      <c r="B2415" s="1">
        <v>1272550</v>
      </c>
      <c r="C2415" s="1">
        <v>8742</v>
      </c>
      <c r="D2415" s="2">
        <v>42459</v>
      </c>
      <c r="E2415" s="1" t="s">
        <v>18</v>
      </c>
      <c r="F2415" t="str">
        <f>HYPERLINK("http://www.sec.gov/Archives/edgar/data/1272550/0001354488-16-006777-index.html")</f>
        <v>http://www.sec.gov/Archives/edgar/data/1272550/0001354488-16-006777-index.html</v>
      </c>
    </row>
    <row r="2416" spans="1:6" x14ac:dyDescent="0.2">
      <c r="A2416" t="s">
        <v>2202</v>
      </c>
      <c r="B2416" s="1">
        <v>1284143</v>
      </c>
      <c r="C2416" s="1">
        <v>6189</v>
      </c>
      <c r="D2416" s="2">
        <v>42459</v>
      </c>
      <c r="E2416" s="1" t="s">
        <v>18</v>
      </c>
      <c r="F2416" t="str">
        <f>HYPERLINK("http://www.sec.gov/Archives/edgar/data/1284143/0001193125-16-523584-index.html")</f>
        <v>http://www.sec.gov/Archives/edgar/data/1284143/0001193125-16-523584-index.html</v>
      </c>
    </row>
    <row r="2417" spans="1:6" x14ac:dyDescent="0.2">
      <c r="A2417" t="s">
        <v>2203</v>
      </c>
      <c r="B2417" s="1">
        <v>1289496</v>
      </c>
      <c r="C2417" s="1">
        <v>8071</v>
      </c>
      <c r="D2417" s="2">
        <v>42459</v>
      </c>
      <c r="E2417" s="1" t="s">
        <v>18</v>
      </c>
      <c r="F2417" t="str">
        <f>HYPERLINK("http://www.sec.gov/Archives/edgar/data/1289496/0001354488-16-006759-index.html")</f>
        <v>http://www.sec.gov/Archives/edgar/data/1289496/0001354488-16-006759-index.html</v>
      </c>
    </row>
    <row r="2418" spans="1:6" x14ac:dyDescent="0.2">
      <c r="A2418" t="s">
        <v>2204</v>
      </c>
      <c r="B2418" s="1">
        <v>1290098</v>
      </c>
      <c r="C2418" s="1">
        <v>6189</v>
      </c>
      <c r="D2418" s="2">
        <v>42459</v>
      </c>
      <c r="E2418" s="1" t="s">
        <v>18</v>
      </c>
      <c r="F2418" t="str">
        <f>HYPERLINK("http://www.sec.gov/Archives/edgar/data/1290098/0001144204-16-091508-index.html")</f>
        <v>http://www.sec.gov/Archives/edgar/data/1290098/0001144204-16-091508-index.html</v>
      </c>
    </row>
    <row r="2419" spans="1:6" x14ac:dyDescent="0.2">
      <c r="A2419" t="s">
        <v>2205</v>
      </c>
      <c r="B2419" s="1">
        <v>1293818</v>
      </c>
      <c r="C2419" s="1">
        <v>8071</v>
      </c>
      <c r="D2419" s="2">
        <v>42459</v>
      </c>
      <c r="E2419" s="1" t="s">
        <v>18</v>
      </c>
      <c r="F2419" t="str">
        <f>HYPERLINK("http://www.sec.gov/Archives/edgar/data/1293818/0001144204-16-091560-index.html")</f>
        <v>http://www.sec.gov/Archives/edgar/data/1293818/0001144204-16-091560-index.html</v>
      </c>
    </row>
    <row r="2420" spans="1:6" x14ac:dyDescent="0.2">
      <c r="A2420" t="s">
        <v>2206</v>
      </c>
      <c r="B2420" s="1">
        <v>1297336</v>
      </c>
      <c r="C2420" s="1">
        <v>7311</v>
      </c>
      <c r="D2420" s="2">
        <v>42459</v>
      </c>
      <c r="E2420" s="1" t="s">
        <v>18</v>
      </c>
      <c r="F2420" t="str">
        <f>HYPERLINK("http://www.sec.gov/Archives/edgar/data/1297336/0001437749-16-028591-index.html")</f>
        <v>http://www.sec.gov/Archives/edgar/data/1297336/0001437749-16-028591-index.html</v>
      </c>
    </row>
    <row r="2421" spans="1:6" x14ac:dyDescent="0.2">
      <c r="A2421" t="s">
        <v>2207</v>
      </c>
      <c r="B2421" s="1">
        <v>1305253</v>
      </c>
      <c r="C2421" s="1">
        <v>2836</v>
      </c>
      <c r="D2421" s="2">
        <v>42459</v>
      </c>
      <c r="E2421" s="1" t="s">
        <v>18</v>
      </c>
      <c r="F2421" t="str">
        <f>HYPERLINK("http://www.sec.gov/Archives/edgar/data/1305253/0001193125-16-523887-index.html")</f>
        <v>http://www.sec.gov/Archives/edgar/data/1305253/0001193125-16-523887-index.html</v>
      </c>
    </row>
    <row r="2422" spans="1:6" x14ac:dyDescent="0.2">
      <c r="A2422" t="s">
        <v>2208</v>
      </c>
      <c r="B2422" s="1">
        <v>1309442</v>
      </c>
      <c r="C2422" s="1">
        <v>7372</v>
      </c>
      <c r="D2422" s="2">
        <v>42459</v>
      </c>
      <c r="E2422" s="1" t="s">
        <v>18</v>
      </c>
      <c r="F2422" t="str">
        <f>HYPERLINK("http://www.sec.gov/Archives/edgar/data/1309442/0001571049-16-013457-index.html")</f>
        <v>http://www.sec.gov/Archives/edgar/data/1309442/0001571049-16-013457-index.html</v>
      </c>
    </row>
    <row r="2423" spans="1:6" x14ac:dyDescent="0.2">
      <c r="A2423" t="s">
        <v>2209</v>
      </c>
      <c r="B2423" s="1">
        <v>1310157</v>
      </c>
      <c r="C2423" s="1">
        <v>6798</v>
      </c>
      <c r="D2423" s="2">
        <v>42459</v>
      </c>
      <c r="E2423" s="1" t="s">
        <v>18</v>
      </c>
      <c r="F2423" t="str">
        <f>HYPERLINK("http://www.sec.gov/Archives/edgar/data/1310157/0001171520-16-000896-index.html")</f>
        <v>http://www.sec.gov/Archives/edgar/data/1310157/0001171520-16-000896-index.html</v>
      </c>
    </row>
    <row r="2424" spans="1:6" x14ac:dyDescent="0.2">
      <c r="A2424" t="s">
        <v>2210</v>
      </c>
      <c r="B2424" s="1">
        <v>13156</v>
      </c>
      <c r="C2424" s="1">
        <v>7900</v>
      </c>
      <c r="D2424" s="2">
        <v>42459</v>
      </c>
      <c r="E2424" s="1" t="s">
        <v>18</v>
      </c>
      <c r="F2424" t="str">
        <f>HYPERLINK("http://www.sec.gov/Archives/edgar/data/13156/0001564590-16-015650-index.html")</f>
        <v>http://www.sec.gov/Archives/edgar/data/13156/0001564590-16-015650-index.html</v>
      </c>
    </row>
    <row r="2425" spans="1:6" x14ac:dyDescent="0.2">
      <c r="A2425" t="s">
        <v>2211</v>
      </c>
      <c r="B2425" s="1">
        <v>1316645</v>
      </c>
      <c r="C2425" s="1">
        <v>8090</v>
      </c>
      <c r="D2425" s="2">
        <v>42459</v>
      </c>
      <c r="E2425" s="1" t="s">
        <v>18</v>
      </c>
      <c r="F2425" t="str">
        <f>HYPERLINK("http://www.sec.gov/Archives/edgar/data/1316645/0001171843-16-008922-index.html")</f>
        <v>http://www.sec.gov/Archives/edgar/data/1316645/0001171843-16-008922-index.html</v>
      </c>
    </row>
    <row r="2426" spans="1:6" x14ac:dyDescent="0.2">
      <c r="A2426" t="s">
        <v>2212</v>
      </c>
      <c r="B2426" s="1">
        <v>1318268</v>
      </c>
      <c r="C2426" s="1">
        <v>1400</v>
      </c>
      <c r="D2426" s="2">
        <v>42459</v>
      </c>
      <c r="E2426" s="1" t="s">
        <v>18</v>
      </c>
      <c r="F2426" t="str">
        <f>HYPERLINK("http://www.sec.gov/Archives/edgar/data/1318268/0001493152-16-008464-index.html")</f>
        <v>http://www.sec.gov/Archives/edgar/data/1318268/0001493152-16-008464-index.html</v>
      </c>
    </row>
    <row r="2427" spans="1:6" x14ac:dyDescent="0.2">
      <c r="A2427" t="s">
        <v>2213</v>
      </c>
      <c r="B2427" s="1">
        <v>1320760</v>
      </c>
      <c r="C2427" s="1">
        <v>8742</v>
      </c>
      <c r="D2427" s="2">
        <v>42459</v>
      </c>
      <c r="E2427" s="1" t="s">
        <v>18</v>
      </c>
      <c r="F2427" t="str">
        <f>HYPERLINK("http://www.sec.gov/Archives/edgar/data/1320760/0001144204-16-091505-index.html")</f>
        <v>http://www.sec.gov/Archives/edgar/data/1320760/0001144204-16-091505-index.html</v>
      </c>
    </row>
    <row r="2428" spans="1:6" x14ac:dyDescent="0.2">
      <c r="A2428" t="s">
        <v>2214</v>
      </c>
      <c r="B2428" s="1">
        <v>1321070</v>
      </c>
      <c r="C2428" s="1">
        <v>6035</v>
      </c>
      <c r="D2428" s="2">
        <v>42459</v>
      </c>
      <c r="E2428" s="1" t="s">
        <v>18</v>
      </c>
      <c r="F2428" t="str">
        <f>HYPERLINK("http://www.sec.gov/Archives/edgar/data/1321070/0001437749-16-028657-index.html")</f>
        <v>http://www.sec.gov/Archives/edgar/data/1321070/0001437749-16-028657-index.html</v>
      </c>
    </row>
    <row r="2429" spans="1:6" x14ac:dyDescent="0.2">
      <c r="A2429" t="s">
        <v>2215</v>
      </c>
      <c r="B2429" s="1">
        <v>1321771</v>
      </c>
      <c r="C2429" s="1">
        <v>6189</v>
      </c>
      <c r="D2429" s="2">
        <v>42459</v>
      </c>
      <c r="E2429" s="1" t="s">
        <v>18</v>
      </c>
      <c r="F2429" t="str">
        <f>HYPERLINK("http://www.sec.gov/Archives/edgar/data/1321771/0001193125-16-523258-index.html")</f>
        <v>http://www.sec.gov/Archives/edgar/data/1321771/0001193125-16-523258-index.html</v>
      </c>
    </row>
    <row r="2430" spans="1:6" x14ac:dyDescent="0.2">
      <c r="A2430" t="s">
        <v>2216</v>
      </c>
      <c r="B2430" s="1">
        <v>1321788</v>
      </c>
      <c r="C2430" s="1">
        <v>6189</v>
      </c>
      <c r="D2430" s="2">
        <v>42459</v>
      </c>
      <c r="E2430" s="1" t="s">
        <v>18</v>
      </c>
      <c r="F2430" t="str">
        <f>HYPERLINK("http://www.sec.gov/Archives/edgar/data/1321788/0001193125-16-523265-index.html")</f>
        <v>http://www.sec.gov/Archives/edgar/data/1321788/0001193125-16-523265-index.html</v>
      </c>
    </row>
    <row r="2431" spans="1:6" x14ac:dyDescent="0.2">
      <c r="A2431" t="s">
        <v>2217</v>
      </c>
      <c r="B2431" s="1">
        <v>1321792</v>
      </c>
      <c r="C2431" s="1">
        <v>6189</v>
      </c>
      <c r="D2431" s="2">
        <v>42459</v>
      </c>
      <c r="E2431" s="1" t="s">
        <v>18</v>
      </c>
      <c r="F2431" t="str">
        <f>HYPERLINK("http://www.sec.gov/Archives/edgar/data/1321792/0001193125-16-523269-index.html")</f>
        <v>http://www.sec.gov/Archives/edgar/data/1321792/0001193125-16-523269-index.html</v>
      </c>
    </row>
    <row r="2432" spans="1:6" x14ac:dyDescent="0.2">
      <c r="A2432" t="s">
        <v>2218</v>
      </c>
      <c r="B2432" s="1">
        <v>1321834</v>
      </c>
      <c r="C2432" s="1">
        <v>2835</v>
      </c>
      <c r="D2432" s="2">
        <v>42459</v>
      </c>
      <c r="E2432" s="1" t="s">
        <v>18</v>
      </c>
      <c r="F2432" t="str">
        <f>HYPERLINK("http://www.sec.gov/Archives/edgar/data/1321834/0001493152-16-008364-index.html")</f>
        <v>http://www.sec.gov/Archives/edgar/data/1321834/0001493152-16-008364-index.html</v>
      </c>
    </row>
    <row r="2433" spans="1:6" x14ac:dyDescent="0.2">
      <c r="A2433" t="s">
        <v>2219</v>
      </c>
      <c r="B2433" s="1">
        <v>1322952</v>
      </c>
      <c r="C2433" s="1">
        <v>7900</v>
      </c>
      <c r="D2433" s="2">
        <v>42459</v>
      </c>
      <c r="E2433" s="1" t="s">
        <v>18</v>
      </c>
      <c r="F2433" t="str">
        <f>HYPERLINK("http://www.sec.gov/Archives/edgar/data/1322952/0001017386-16-000389-index.html")</f>
        <v>http://www.sec.gov/Archives/edgar/data/1322952/0001017386-16-000389-index.html</v>
      </c>
    </row>
    <row r="2434" spans="1:6" x14ac:dyDescent="0.2">
      <c r="A2434" t="s">
        <v>2220</v>
      </c>
      <c r="B2434" s="1">
        <v>1324736</v>
      </c>
      <c r="C2434" s="1">
        <v>1311</v>
      </c>
      <c r="D2434" s="2">
        <v>42459</v>
      </c>
      <c r="E2434" s="1" t="s">
        <v>18</v>
      </c>
      <c r="F2434" t="str">
        <f>HYPERLINK("http://www.sec.gov/Archives/edgar/data/1324736/0001354488-16-006787-index.html")</f>
        <v>http://www.sec.gov/Archives/edgar/data/1324736/0001354488-16-006787-index.html</v>
      </c>
    </row>
    <row r="2435" spans="1:6" x14ac:dyDescent="0.2">
      <c r="A2435" t="s">
        <v>2221</v>
      </c>
      <c r="B2435" s="1">
        <v>1326110</v>
      </c>
      <c r="C2435" s="1">
        <v>2836</v>
      </c>
      <c r="D2435" s="2">
        <v>42459</v>
      </c>
      <c r="E2435" s="1" t="s">
        <v>18</v>
      </c>
      <c r="F2435" t="str">
        <f>HYPERLINK("http://www.sec.gov/Archives/edgar/data/1326110/0001564590-16-015596-index.html")</f>
        <v>http://www.sec.gov/Archives/edgar/data/1326110/0001564590-16-015596-index.html</v>
      </c>
    </row>
    <row r="2436" spans="1:6" x14ac:dyDescent="0.2">
      <c r="A2436" t="s">
        <v>2222</v>
      </c>
      <c r="B2436" s="1">
        <v>1326706</v>
      </c>
      <c r="C2436" s="1">
        <v>3842</v>
      </c>
      <c r="D2436" s="2">
        <v>42459</v>
      </c>
      <c r="E2436" s="1" t="s">
        <v>18</v>
      </c>
      <c r="F2436" t="str">
        <f>HYPERLINK("http://www.sec.gov/Archives/edgar/data/1326706/0001144204-16-091141-index.html")</f>
        <v>http://www.sec.gov/Archives/edgar/data/1326706/0001144204-16-091141-index.html</v>
      </c>
    </row>
    <row r="2437" spans="1:6" x14ac:dyDescent="0.2">
      <c r="A2437" t="s">
        <v>2223</v>
      </c>
      <c r="B2437" s="1">
        <v>1327603</v>
      </c>
      <c r="C2437" s="1">
        <v>6798</v>
      </c>
      <c r="D2437" s="2">
        <v>42459</v>
      </c>
      <c r="E2437" s="1" t="s">
        <v>18</v>
      </c>
      <c r="F2437" t="str">
        <f>HYPERLINK("http://www.sec.gov/Archives/edgar/data/1327603/0001327603-16-000032-index.html")</f>
        <v>http://www.sec.gov/Archives/edgar/data/1327603/0001327603-16-000032-index.html</v>
      </c>
    </row>
    <row r="2438" spans="1:6" x14ac:dyDescent="0.2">
      <c r="A2438" t="s">
        <v>1984</v>
      </c>
      <c r="B2438" s="1">
        <v>1330849</v>
      </c>
      <c r="C2438" s="1">
        <v>1381</v>
      </c>
      <c r="D2438" s="2">
        <v>42459</v>
      </c>
      <c r="E2438" s="1" t="s">
        <v>18</v>
      </c>
      <c r="F2438" t="str">
        <f>HYPERLINK("http://www.sec.gov/Archives/edgar/data/1330849/0001330849-16-000134-index.html")</f>
        <v>http://www.sec.gov/Archives/edgar/data/1330849/0001330849-16-000134-index.html</v>
      </c>
    </row>
    <row r="2439" spans="1:6" x14ac:dyDescent="0.2">
      <c r="A2439" t="s">
        <v>2224</v>
      </c>
      <c r="B2439" s="1">
        <v>1335982</v>
      </c>
      <c r="C2439" s="1">
        <v>4812</v>
      </c>
      <c r="D2439" s="2">
        <v>42459</v>
      </c>
      <c r="E2439" s="1" t="s">
        <v>18</v>
      </c>
      <c r="F2439" t="str">
        <f>HYPERLINK("http://www.sec.gov/Archives/edgar/data/1335982/0001564590-16-015678-index.html")</f>
        <v>http://www.sec.gov/Archives/edgar/data/1335982/0001564590-16-015678-index.html</v>
      </c>
    </row>
    <row r="2440" spans="1:6" x14ac:dyDescent="0.2">
      <c r="A2440" t="s">
        <v>2225</v>
      </c>
      <c r="B2440" s="1">
        <v>1339970</v>
      </c>
      <c r="C2440" s="1">
        <v>2836</v>
      </c>
      <c r="D2440" s="2">
        <v>42459</v>
      </c>
      <c r="E2440" s="1" t="s">
        <v>18</v>
      </c>
      <c r="F2440" t="str">
        <f>HYPERLINK("http://www.sec.gov/Archives/edgar/data/1339970/0001564590-16-015652-index.html")</f>
        <v>http://www.sec.gov/Archives/edgar/data/1339970/0001564590-16-015652-index.html</v>
      </c>
    </row>
    <row r="2441" spans="1:6" x14ac:dyDescent="0.2">
      <c r="A2441" t="s">
        <v>2226</v>
      </c>
      <c r="B2441" s="1">
        <v>1341235</v>
      </c>
      <c r="C2441" s="1">
        <v>2834</v>
      </c>
      <c r="D2441" s="2">
        <v>42459</v>
      </c>
      <c r="E2441" s="1" t="s">
        <v>18</v>
      </c>
      <c r="F2441" t="str">
        <f>HYPERLINK("http://www.sec.gov/Archives/edgar/data/1341235/0001193125-16-523952-index.html")</f>
        <v>http://www.sec.gov/Archives/edgar/data/1341235/0001193125-16-523952-index.html</v>
      </c>
    </row>
    <row r="2442" spans="1:6" x14ac:dyDescent="0.2">
      <c r="A2442" t="s">
        <v>2227</v>
      </c>
      <c r="B2442" s="1">
        <v>1346922</v>
      </c>
      <c r="C2442" s="1">
        <v>6331</v>
      </c>
      <c r="D2442" s="2">
        <v>42459</v>
      </c>
      <c r="E2442" s="1" t="s">
        <v>18</v>
      </c>
      <c r="F2442" t="str">
        <f>HYPERLINK("http://www.sec.gov/Archives/edgar/data/1346922/0001346922-16-000046-index.html")</f>
        <v>http://www.sec.gov/Archives/edgar/data/1346922/0001346922-16-000046-index.html</v>
      </c>
    </row>
    <row r="2443" spans="1:6" x14ac:dyDescent="0.2">
      <c r="A2443" t="s">
        <v>2228</v>
      </c>
      <c r="B2443" s="1">
        <v>1346980</v>
      </c>
      <c r="C2443" s="1">
        <v>1311</v>
      </c>
      <c r="D2443" s="2">
        <v>42459</v>
      </c>
      <c r="E2443" s="1" t="s">
        <v>18</v>
      </c>
      <c r="F2443" t="str">
        <f>HYPERLINK("http://www.sec.gov/Archives/edgar/data/1346980/0001564590-16-015629-index.html")</f>
        <v>http://www.sec.gov/Archives/edgar/data/1346980/0001564590-16-015629-index.html</v>
      </c>
    </row>
    <row r="2444" spans="1:6" x14ac:dyDescent="0.2">
      <c r="A2444" t="s">
        <v>2229</v>
      </c>
      <c r="B2444" s="1">
        <v>1348911</v>
      </c>
      <c r="C2444" s="1">
        <v>2834</v>
      </c>
      <c r="D2444" s="2">
        <v>42459</v>
      </c>
      <c r="E2444" s="1" t="s">
        <v>18</v>
      </c>
      <c r="F2444" t="str">
        <f>HYPERLINK("http://www.sec.gov/Archives/edgar/data/1348911/0001564590-16-015646-index.html")</f>
        <v>http://www.sec.gov/Archives/edgar/data/1348911/0001564590-16-015646-index.html</v>
      </c>
    </row>
    <row r="2445" spans="1:6" x14ac:dyDescent="0.2">
      <c r="A2445" t="s">
        <v>2230</v>
      </c>
      <c r="B2445" s="1">
        <v>1349436</v>
      </c>
      <c r="C2445" s="1">
        <v>1311</v>
      </c>
      <c r="D2445" s="2">
        <v>42459</v>
      </c>
      <c r="E2445" s="1" t="s">
        <v>18</v>
      </c>
      <c r="F2445" t="str">
        <f>HYPERLINK("http://www.sec.gov/Archives/edgar/data/1349436/0001349436-16-000213-index.html")</f>
        <v>http://www.sec.gov/Archives/edgar/data/1349436/0001349436-16-000213-index.html</v>
      </c>
    </row>
    <row r="2446" spans="1:6" x14ac:dyDescent="0.2">
      <c r="A2446" t="s">
        <v>2231</v>
      </c>
      <c r="B2446" s="1">
        <v>1351901</v>
      </c>
      <c r="C2446" s="1">
        <v>7350</v>
      </c>
      <c r="D2446" s="2">
        <v>42459</v>
      </c>
      <c r="E2446" s="1" t="s">
        <v>18</v>
      </c>
      <c r="F2446" t="str">
        <f>HYPERLINK("http://www.sec.gov/Archives/edgar/data/1351901/0001376474-16-000634-index.html")</f>
        <v>http://www.sec.gov/Archives/edgar/data/1351901/0001376474-16-000634-index.html</v>
      </c>
    </row>
    <row r="2447" spans="1:6" x14ac:dyDescent="0.2">
      <c r="A2447" t="s">
        <v>2232</v>
      </c>
      <c r="B2447" s="1">
        <v>1353283</v>
      </c>
      <c r="C2447" s="1">
        <v>7372</v>
      </c>
      <c r="D2447" s="2">
        <v>42459</v>
      </c>
      <c r="E2447" s="1" t="s">
        <v>18</v>
      </c>
      <c r="F2447" t="str">
        <f>HYPERLINK("http://www.sec.gov/Archives/edgar/data/1353283/0001353283-16-000033-index.html")</f>
        <v>http://www.sec.gov/Archives/edgar/data/1353283/0001353283-16-000033-index.html</v>
      </c>
    </row>
    <row r="2448" spans="1:6" x14ac:dyDescent="0.2">
      <c r="A2448" t="s">
        <v>2233</v>
      </c>
      <c r="B2448" s="1">
        <v>1353499</v>
      </c>
      <c r="C2448" s="1">
        <v>7374</v>
      </c>
      <c r="D2448" s="2">
        <v>42459</v>
      </c>
      <c r="E2448" s="1" t="s">
        <v>18</v>
      </c>
      <c r="F2448" t="str">
        <f>HYPERLINK("http://www.sec.gov/Archives/edgar/data/1353499/0001353499-16-000040-index.html")</f>
        <v>http://www.sec.gov/Archives/edgar/data/1353499/0001353499-16-000040-index.html</v>
      </c>
    </row>
    <row r="2449" spans="1:6" x14ac:dyDescent="0.2">
      <c r="A2449" t="s">
        <v>2234</v>
      </c>
      <c r="B2449" s="1">
        <v>1355790</v>
      </c>
      <c r="C2449" s="1">
        <v>2834</v>
      </c>
      <c r="D2449" s="2">
        <v>42459</v>
      </c>
      <c r="E2449" s="1" t="s">
        <v>18</v>
      </c>
      <c r="F2449" t="str">
        <f>HYPERLINK("http://www.sec.gov/Archives/edgar/data/1355790/0001564590-16-015688-index.html")</f>
        <v>http://www.sec.gov/Archives/edgar/data/1355790/0001564590-16-015688-index.html</v>
      </c>
    </row>
    <row r="2450" spans="1:6" x14ac:dyDescent="0.2">
      <c r="A2450" t="s">
        <v>573</v>
      </c>
      <c r="B2450" s="1">
        <v>1355848</v>
      </c>
      <c r="C2450" s="1">
        <v>7812</v>
      </c>
      <c r="D2450" s="2">
        <v>42459</v>
      </c>
      <c r="E2450" s="1" t="s">
        <v>18</v>
      </c>
      <c r="F2450" t="str">
        <f>HYPERLINK("http://www.sec.gov/Archives/edgar/data/1355848/0001019687-16-005679-index.html")</f>
        <v>http://www.sec.gov/Archives/edgar/data/1355848/0001019687-16-005679-index.html</v>
      </c>
    </row>
    <row r="2451" spans="1:6" x14ac:dyDescent="0.2">
      <c r="A2451" t="s">
        <v>2235</v>
      </c>
      <c r="B2451" s="1">
        <v>1356564</v>
      </c>
      <c r="C2451" s="1">
        <v>3711</v>
      </c>
      <c r="D2451" s="2">
        <v>42459</v>
      </c>
      <c r="E2451" s="1" t="s">
        <v>18</v>
      </c>
      <c r="F2451" t="str">
        <f>HYPERLINK("http://www.sec.gov/Archives/edgar/data/1356564/0001445866-16-001832-index.html")</f>
        <v>http://www.sec.gov/Archives/edgar/data/1356564/0001445866-16-001832-index.html</v>
      </c>
    </row>
    <row r="2452" spans="1:6" x14ac:dyDescent="0.2">
      <c r="A2452" t="s">
        <v>2236</v>
      </c>
      <c r="B2452" s="1">
        <v>1360683</v>
      </c>
      <c r="C2452" s="1">
        <v>6021</v>
      </c>
      <c r="D2452" s="2">
        <v>42459</v>
      </c>
      <c r="E2452" s="1" t="s">
        <v>42</v>
      </c>
      <c r="F2452" t="str">
        <f>HYPERLINK("http://www.sec.gov/Archives/edgar/data/1360683/0001360683-16-000134-index.html")</f>
        <v>http://www.sec.gov/Archives/edgar/data/1360683/0001360683-16-000134-index.html</v>
      </c>
    </row>
    <row r="2453" spans="1:6" x14ac:dyDescent="0.2">
      <c r="A2453" t="s">
        <v>2237</v>
      </c>
      <c r="B2453" s="1">
        <v>1362190</v>
      </c>
      <c r="C2453" s="1">
        <v>7372</v>
      </c>
      <c r="D2453" s="2">
        <v>42459</v>
      </c>
      <c r="E2453" s="1" t="s">
        <v>18</v>
      </c>
      <c r="F2453" t="str">
        <f>HYPERLINK("http://www.sec.gov/Archives/edgar/data/1362190/0001144204-16-091312-index.html")</f>
        <v>http://www.sec.gov/Archives/edgar/data/1362190/0001144204-16-091312-index.html</v>
      </c>
    </row>
    <row r="2454" spans="1:6" x14ac:dyDescent="0.2">
      <c r="A2454" t="s">
        <v>2238</v>
      </c>
      <c r="B2454" s="1">
        <v>1362705</v>
      </c>
      <c r="C2454" s="1">
        <v>1311</v>
      </c>
      <c r="D2454" s="2">
        <v>42459</v>
      </c>
      <c r="E2454" s="1" t="s">
        <v>18</v>
      </c>
      <c r="F2454" t="str">
        <f>HYPERLINK("http://www.sec.gov/Archives/edgar/data/1362705/0001558370-16-004482-index.html")</f>
        <v>http://www.sec.gov/Archives/edgar/data/1362705/0001558370-16-004482-index.html</v>
      </c>
    </row>
    <row r="2455" spans="1:6" x14ac:dyDescent="0.2">
      <c r="A2455" t="s">
        <v>2239</v>
      </c>
      <c r="B2455" s="1">
        <v>1363958</v>
      </c>
      <c r="C2455" s="1">
        <v>6141</v>
      </c>
      <c r="D2455" s="2">
        <v>42459</v>
      </c>
      <c r="E2455" s="1" t="s">
        <v>18</v>
      </c>
      <c r="F2455" t="str">
        <f>HYPERLINK("http://www.sec.gov/Archives/edgar/data/1363958/0001615774-16-004733-index.html")</f>
        <v>http://www.sec.gov/Archives/edgar/data/1363958/0001615774-16-004733-index.html</v>
      </c>
    </row>
    <row r="2456" spans="1:6" x14ac:dyDescent="0.2">
      <c r="A2456" t="s">
        <v>2240</v>
      </c>
      <c r="B2456" s="1">
        <v>1365916</v>
      </c>
      <c r="C2456" s="1">
        <v>2860</v>
      </c>
      <c r="D2456" s="2">
        <v>42459</v>
      </c>
      <c r="E2456" s="1" t="s">
        <v>18</v>
      </c>
      <c r="F2456" t="str">
        <f>HYPERLINK("http://www.sec.gov/Archives/edgar/data/1365916/0001171843-16-008924-index.html")</f>
        <v>http://www.sec.gov/Archives/edgar/data/1365916/0001171843-16-008924-index.html</v>
      </c>
    </row>
    <row r="2457" spans="1:6" x14ac:dyDescent="0.2">
      <c r="A2457" t="s">
        <v>2241</v>
      </c>
      <c r="B2457" s="1">
        <v>1368365</v>
      </c>
      <c r="C2457" s="1">
        <v>4899</v>
      </c>
      <c r="D2457" s="2">
        <v>42459</v>
      </c>
      <c r="E2457" s="1" t="s">
        <v>18</v>
      </c>
      <c r="F2457" t="str">
        <f>HYPERLINK("http://www.sec.gov/Archives/edgar/data/1368365/0001368365-16-000038-index.html")</f>
        <v>http://www.sec.gov/Archives/edgar/data/1368365/0001368365-16-000038-index.html</v>
      </c>
    </row>
    <row r="2458" spans="1:6" x14ac:dyDescent="0.2">
      <c r="A2458" t="s">
        <v>2242</v>
      </c>
      <c r="B2458" s="1">
        <v>1370030</v>
      </c>
      <c r="C2458" s="1">
        <v>1000</v>
      </c>
      <c r="D2458" s="2">
        <v>42459</v>
      </c>
      <c r="E2458" s="1" t="s">
        <v>18</v>
      </c>
      <c r="F2458" t="str">
        <f>HYPERLINK("http://www.sec.gov/Archives/edgar/data/1370030/0001185185-16-004058-index.html")</f>
        <v>http://www.sec.gov/Archives/edgar/data/1370030/0001185185-16-004058-index.html</v>
      </c>
    </row>
    <row r="2459" spans="1:6" x14ac:dyDescent="0.2">
      <c r="A2459" t="s">
        <v>2243</v>
      </c>
      <c r="B2459" s="1">
        <v>1370489</v>
      </c>
      <c r="C2459" s="1">
        <v>2860</v>
      </c>
      <c r="D2459" s="2">
        <v>42459</v>
      </c>
      <c r="E2459" s="1" t="s">
        <v>18</v>
      </c>
      <c r="F2459" t="str">
        <f>HYPERLINK("http://www.sec.gov/Archives/edgar/data/1370489/0001493152-16-008361-index.html")</f>
        <v>http://www.sec.gov/Archives/edgar/data/1370489/0001493152-16-008361-index.html</v>
      </c>
    </row>
    <row r="2460" spans="1:6" x14ac:dyDescent="0.2">
      <c r="A2460" t="s">
        <v>2244</v>
      </c>
      <c r="B2460" s="1">
        <v>1372514</v>
      </c>
      <c r="C2460" s="1">
        <v>2834</v>
      </c>
      <c r="D2460" s="2">
        <v>42459</v>
      </c>
      <c r="E2460" s="1" t="s">
        <v>18</v>
      </c>
      <c r="F2460" t="str">
        <f>HYPERLINK("http://www.sec.gov/Archives/edgar/data/1372514/0001144204-16-091485-index.html")</f>
        <v>http://www.sec.gov/Archives/edgar/data/1372514/0001144204-16-091485-index.html</v>
      </c>
    </row>
    <row r="2461" spans="1:6" x14ac:dyDescent="0.2">
      <c r="A2461" t="s">
        <v>2245</v>
      </c>
      <c r="B2461" s="1">
        <v>1372612</v>
      </c>
      <c r="C2461" s="1">
        <v>7372</v>
      </c>
      <c r="D2461" s="2">
        <v>42459</v>
      </c>
      <c r="E2461" s="1" t="s">
        <v>18</v>
      </c>
      <c r="F2461" t="str">
        <f>HYPERLINK("http://www.sec.gov/Archives/edgar/data/1372612/0001564590-16-015649-index.html")</f>
        <v>http://www.sec.gov/Archives/edgar/data/1372612/0001564590-16-015649-index.html</v>
      </c>
    </row>
    <row r="2462" spans="1:6" x14ac:dyDescent="0.2">
      <c r="A2462" t="s">
        <v>2246</v>
      </c>
      <c r="B2462" s="1">
        <v>1373670</v>
      </c>
      <c r="C2462" s="1">
        <v>1531</v>
      </c>
      <c r="D2462" s="2">
        <v>42459</v>
      </c>
      <c r="E2462" s="1" t="s">
        <v>18</v>
      </c>
      <c r="F2462" t="str">
        <f>HYPERLINK("http://www.sec.gov/Archives/edgar/data/1373670/0001373670-16-000053-index.html")</f>
        <v>http://www.sec.gov/Archives/edgar/data/1373670/0001373670-16-000053-index.html</v>
      </c>
    </row>
    <row r="2463" spans="1:6" x14ac:dyDescent="0.2">
      <c r="A2463" t="s">
        <v>2247</v>
      </c>
      <c r="B2463" s="1">
        <v>1375195</v>
      </c>
      <c r="C2463" s="1">
        <v>3669</v>
      </c>
      <c r="D2463" s="2">
        <v>42459</v>
      </c>
      <c r="E2463" s="1" t="s">
        <v>18</v>
      </c>
      <c r="F2463" t="str">
        <f>HYPERLINK("http://www.sec.gov/Archives/edgar/data/1375195/0001144204-16-091408-index.html")</f>
        <v>http://www.sec.gov/Archives/edgar/data/1375195/0001144204-16-091408-index.html</v>
      </c>
    </row>
    <row r="2464" spans="1:6" x14ac:dyDescent="0.2">
      <c r="A2464" t="s">
        <v>2248</v>
      </c>
      <c r="B2464" s="1">
        <v>1375686</v>
      </c>
      <c r="C2464" s="1">
        <v>3443</v>
      </c>
      <c r="D2464" s="2">
        <v>42459</v>
      </c>
      <c r="E2464" s="1" t="s">
        <v>18</v>
      </c>
      <c r="F2464" t="str">
        <f>HYPERLINK("http://www.sec.gov/Archives/edgar/data/1375686/0001062993-16-008592-index.html")</f>
        <v>http://www.sec.gov/Archives/edgar/data/1375686/0001062993-16-008592-index.html</v>
      </c>
    </row>
    <row r="2465" spans="1:6" x14ac:dyDescent="0.2">
      <c r="A2465" t="s">
        <v>2249</v>
      </c>
      <c r="B2465" s="1">
        <v>1377149</v>
      </c>
      <c r="C2465" s="1">
        <v>3663</v>
      </c>
      <c r="D2465" s="2">
        <v>42459</v>
      </c>
      <c r="E2465" s="1" t="s">
        <v>18</v>
      </c>
      <c r="F2465" t="str">
        <f>HYPERLINK("http://www.sec.gov/Archives/edgar/data/1377149/0001387131-16-004824-index.html")</f>
        <v>http://www.sec.gov/Archives/edgar/data/1377149/0001387131-16-004824-index.html</v>
      </c>
    </row>
    <row r="2466" spans="1:6" x14ac:dyDescent="0.2">
      <c r="A2466" t="s">
        <v>2250</v>
      </c>
      <c r="B2466" s="1">
        <v>1377848</v>
      </c>
      <c r="C2466" s="1">
        <v>7359</v>
      </c>
      <c r="D2466" s="2">
        <v>42459</v>
      </c>
      <c r="E2466" s="1" t="s">
        <v>18</v>
      </c>
      <c r="F2466" t="str">
        <f>HYPERLINK("http://www.sec.gov/Archives/edgar/data/1377848/0001446806-16-000017-index.html")</f>
        <v>http://www.sec.gov/Archives/edgar/data/1377848/0001446806-16-000017-index.html</v>
      </c>
    </row>
    <row r="2467" spans="1:6" x14ac:dyDescent="0.2">
      <c r="A2467" t="s">
        <v>2251</v>
      </c>
      <c r="B2467" s="1">
        <v>1378706</v>
      </c>
      <c r="C2467" s="1">
        <v>4931</v>
      </c>
      <c r="D2467" s="2">
        <v>42459</v>
      </c>
      <c r="E2467" s="1" t="s">
        <v>18</v>
      </c>
      <c r="F2467" t="str">
        <f>HYPERLINK("http://www.sec.gov/Archives/edgar/data/1378706/0001378706-16-000176-index.html")</f>
        <v>http://www.sec.gov/Archives/edgar/data/1378706/0001378706-16-000176-index.html</v>
      </c>
    </row>
    <row r="2468" spans="1:6" x14ac:dyDescent="0.2">
      <c r="A2468" t="s">
        <v>2252</v>
      </c>
      <c r="B2468" s="1">
        <v>1379075</v>
      </c>
      <c r="C2468" s="1">
        <v>6798</v>
      </c>
      <c r="D2468" s="2">
        <v>42459</v>
      </c>
      <c r="E2468" s="1" t="s">
        <v>18</v>
      </c>
      <c r="F2468" t="str">
        <f>HYPERLINK("http://www.sec.gov/Archives/edgar/data/1379075/0001171520-16-000894-index.html")</f>
        <v>http://www.sec.gov/Archives/edgar/data/1379075/0001171520-16-000894-index.html</v>
      </c>
    </row>
    <row r="2469" spans="1:6" x14ac:dyDescent="0.2">
      <c r="A2469" t="s">
        <v>2253</v>
      </c>
      <c r="B2469" s="1">
        <v>1381240</v>
      </c>
      <c r="C2469" s="1">
        <v>5400</v>
      </c>
      <c r="D2469" s="2">
        <v>42459</v>
      </c>
      <c r="E2469" s="1" t="s">
        <v>18</v>
      </c>
      <c r="F2469" t="str">
        <f>HYPERLINK("http://www.sec.gov/Archives/edgar/data/1381240/0001206774-16-005225-index.html")</f>
        <v>http://www.sec.gov/Archives/edgar/data/1381240/0001206774-16-005225-index.html</v>
      </c>
    </row>
    <row r="2470" spans="1:6" x14ac:dyDescent="0.2">
      <c r="A2470" t="s">
        <v>886</v>
      </c>
      <c r="B2470" s="1">
        <v>1383094</v>
      </c>
      <c r="C2470" s="1">
        <v>6189</v>
      </c>
      <c r="D2470" s="2">
        <v>42459</v>
      </c>
      <c r="E2470" s="1" t="s">
        <v>18</v>
      </c>
      <c r="F2470" t="str">
        <f>HYPERLINK("http://www.sec.gov/Archives/edgar/data/1383094/0001193125-16-522747-index.html")</f>
        <v>http://www.sec.gov/Archives/edgar/data/1383094/0001193125-16-522747-index.html</v>
      </c>
    </row>
    <row r="2471" spans="1:6" x14ac:dyDescent="0.2">
      <c r="A2471" t="s">
        <v>886</v>
      </c>
      <c r="B2471" s="1">
        <v>1383094</v>
      </c>
      <c r="C2471" s="1">
        <v>6189</v>
      </c>
      <c r="D2471" s="2">
        <v>42459</v>
      </c>
      <c r="E2471" s="1" t="s">
        <v>18</v>
      </c>
      <c r="F2471" t="str">
        <f>HYPERLINK("http://www.sec.gov/Archives/edgar/data/1383094/0001193125-16-522749-index.html")</f>
        <v>http://www.sec.gov/Archives/edgar/data/1383094/0001193125-16-522749-index.html</v>
      </c>
    </row>
    <row r="2472" spans="1:6" x14ac:dyDescent="0.2">
      <c r="A2472" t="s">
        <v>886</v>
      </c>
      <c r="B2472" s="1">
        <v>1383094</v>
      </c>
      <c r="C2472" s="1">
        <v>6189</v>
      </c>
      <c r="D2472" s="2">
        <v>42459</v>
      </c>
      <c r="E2472" s="1" t="s">
        <v>18</v>
      </c>
      <c r="F2472" t="str">
        <f>HYPERLINK("http://www.sec.gov/Archives/edgar/data/1383094/0001193125-16-522756-index.html")</f>
        <v>http://www.sec.gov/Archives/edgar/data/1383094/0001193125-16-522756-index.html</v>
      </c>
    </row>
    <row r="2473" spans="1:6" x14ac:dyDescent="0.2">
      <c r="A2473" t="s">
        <v>886</v>
      </c>
      <c r="B2473" s="1">
        <v>1383094</v>
      </c>
      <c r="C2473" s="1">
        <v>6189</v>
      </c>
      <c r="D2473" s="2">
        <v>42459</v>
      </c>
      <c r="E2473" s="1" t="s">
        <v>18</v>
      </c>
      <c r="F2473" t="str">
        <f>HYPERLINK("http://www.sec.gov/Archives/edgar/data/1383094/0001193125-16-522774-index.html")</f>
        <v>http://www.sec.gov/Archives/edgar/data/1383094/0001193125-16-522774-index.html</v>
      </c>
    </row>
    <row r="2474" spans="1:6" x14ac:dyDescent="0.2">
      <c r="A2474" t="s">
        <v>886</v>
      </c>
      <c r="B2474" s="1">
        <v>1383094</v>
      </c>
      <c r="C2474" s="1">
        <v>6189</v>
      </c>
      <c r="D2474" s="2">
        <v>42459</v>
      </c>
      <c r="E2474" s="1" t="s">
        <v>18</v>
      </c>
      <c r="F2474" t="str">
        <f>HYPERLINK("http://www.sec.gov/Archives/edgar/data/1383094/0001193125-16-522784-index.html")</f>
        <v>http://www.sec.gov/Archives/edgar/data/1383094/0001193125-16-522784-index.html</v>
      </c>
    </row>
    <row r="2475" spans="1:6" x14ac:dyDescent="0.2">
      <c r="A2475" t="s">
        <v>886</v>
      </c>
      <c r="B2475" s="1">
        <v>1383094</v>
      </c>
      <c r="C2475" s="1">
        <v>6189</v>
      </c>
      <c r="D2475" s="2">
        <v>42459</v>
      </c>
      <c r="E2475" s="1" t="s">
        <v>18</v>
      </c>
      <c r="F2475" t="str">
        <f>HYPERLINK("http://www.sec.gov/Archives/edgar/data/1383094/0001193125-16-522789-index.html")</f>
        <v>http://www.sec.gov/Archives/edgar/data/1383094/0001193125-16-522789-index.html</v>
      </c>
    </row>
    <row r="2476" spans="1:6" x14ac:dyDescent="0.2">
      <c r="A2476" t="s">
        <v>886</v>
      </c>
      <c r="B2476" s="1">
        <v>1383094</v>
      </c>
      <c r="C2476" s="1">
        <v>6189</v>
      </c>
      <c r="D2476" s="2">
        <v>42459</v>
      </c>
      <c r="E2476" s="1" t="s">
        <v>18</v>
      </c>
      <c r="F2476" t="str">
        <f>HYPERLINK("http://www.sec.gov/Archives/edgar/data/1383094/0001193125-16-522803-index.html")</f>
        <v>http://www.sec.gov/Archives/edgar/data/1383094/0001193125-16-522803-index.html</v>
      </c>
    </row>
    <row r="2477" spans="1:6" x14ac:dyDescent="0.2">
      <c r="A2477" t="s">
        <v>886</v>
      </c>
      <c r="B2477" s="1">
        <v>1383094</v>
      </c>
      <c r="C2477" s="1">
        <v>6189</v>
      </c>
      <c r="D2477" s="2">
        <v>42459</v>
      </c>
      <c r="E2477" s="1" t="s">
        <v>18</v>
      </c>
      <c r="F2477" t="str">
        <f>HYPERLINK("http://www.sec.gov/Archives/edgar/data/1383094/0001193125-16-522818-index.html")</f>
        <v>http://www.sec.gov/Archives/edgar/data/1383094/0001193125-16-522818-index.html</v>
      </c>
    </row>
    <row r="2478" spans="1:6" x14ac:dyDescent="0.2">
      <c r="A2478" t="s">
        <v>886</v>
      </c>
      <c r="B2478" s="1">
        <v>1383094</v>
      </c>
      <c r="C2478" s="1">
        <v>6189</v>
      </c>
      <c r="D2478" s="2">
        <v>42459</v>
      </c>
      <c r="E2478" s="1" t="s">
        <v>18</v>
      </c>
      <c r="F2478" t="str">
        <f>HYPERLINK("http://www.sec.gov/Archives/edgar/data/1383094/0001193125-16-522819-index.html")</f>
        <v>http://www.sec.gov/Archives/edgar/data/1383094/0001193125-16-522819-index.html</v>
      </c>
    </row>
    <row r="2479" spans="1:6" x14ac:dyDescent="0.2">
      <c r="A2479" t="s">
        <v>886</v>
      </c>
      <c r="B2479" s="1">
        <v>1383094</v>
      </c>
      <c r="C2479" s="1">
        <v>6189</v>
      </c>
      <c r="D2479" s="2">
        <v>42459</v>
      </c>
      <c r="E2479" s="1" t="s">
        <v>18</v>
      </c>
      <c r="F2479" t="str">
        <f>HYPERLINK("http://www.sec.gov/Archives/edgar/data/1383094/0001193125-16-522836-index.html")</f>
        <v>http://www.sec.gov/Archives/edgar/data/1383094/0001193125-16-522836-index.html</v>
      </c>
    </row>
    <row r="2480" spans="1:6" x14ac:dyDescent="0.2">
      <c r="A2480" t="s">
        <v>886</v>
      </c>
      <c r="B2480" s="1">
        <v>1383094</v>
      </c>
      <c r="C2480" s="1">
        <v>6189</v>
      </c>
      <c r="D2480" s="2">
        <v>42459</v>
      </c>
      <c r="E2480" s="1" t="s">
        <v>18</v>
      </c>
      <c r="F2480" t="str">
        <f>HYPERLINK("http://www.sec.gov/Archives/edgar/data/1383094/0001193125-16-522852-index.html")</f>
        <v>http://www.sec.gov/Archives/edgar/data/1383094/0001193125-16-522852-index.html</v>
      </c>
    </row>
    <row r="2481" spans="1:6" x14ac:dyDescent="0.2">
      <c r="A2481" t="s">
        <v>886</v>
      </c>
      <c r="B2481" s="1">
        <v>1383094</v>
      </c>
      <c r="C2481" s="1">
        <v>6189</v>
      </c>
      <c r="D2481" s="2">
        <v>42459</v>
      </c>
      <c r="E2481" s="1" t="s">
        <v>18</v>
      </c>
      <c r="F2481" t="str">
        <f>HYPERLINK("http://www.sec.gov/Archives/edgar/data/1383094/0001193125-16-522854-index.html")</f>
        <v>http://www.sec.gov/Archives/edgar/data/1383094/0001193125-16-522854-index.html</v>
      </c>
    </row>
    <row r="2482" spans="1:6" x14ac:dyDescent="0.2">
      <c r="A2482" t="s">
        <v>886</v>
      </c>
      <c r="B2482" s="1">
        <v>1383094</v>
      </c>
      <c r="C2482" s="1">
        <v>6189</v>
      </c>
      <c r="D2482" s="2">
        <v>42459</v>
      </c>
      <c r="E2482" s="1" t="s">
        <v>18</v>
      </c>
      <c r="F2482" t="str">
        <f>HYPERLINK("http://www.sec.gov/Archives/edgar/data/1383094/0001193125-16-522858-index.html")</f>
        <v>http://www.sec.gov/Archives/edgar/data/1383094/0001193125-16-522858-index.html</v>
      </c>
    </row>
    <row r="2483" spans="1:6" x14ac:dyDescent="0.2">
      <c r="A2483" t="s">
        <v>886</v>
      </c>
      <c r="B2483" s="1">
        <v>1383094</v>
      </c>
      <c r="C2483" s="1">
        <v>6189</v>
      </c>
      <c r="D2483" s="2">
        <v>42459</v>
      </c>
      <c r="E2483" s="1" t="s">
        <v>18</v>
      </c>
      <c r="F2483" t="str">
        <f>HYPERLINK("http://www.sec.gov/Archives/edgar/data/1383094/0001193125-16-522878-index.html")</f>
        <v>http://www.sec.gov/Archives/edgar/data/1383094/0001193125-16-522878-index.html</v>
      </c>
    </row>
    <row r="2484" spans="1:6" x14ac:dyDescent="0.2">
      <c r="A2484" t="s">
        <v>886</v>
      </c>
      <c r="B2484" s="1">
        <v>1383094</v>
      </c>
      <c r="C2484" s="1">
        <v>6189</v>
      </c>
      <c r="D2484" s="2">
        <v>42459</v>
      </c>
      <c r="E2484" s="1" t="s">
        <v>18</v>
      </c>
      <c r="F2484" t="str">
        <f>HYPERLINK("http://www.sec.gov/Archives/edgar/data/1383094/0001193125-16-522879-index.html")</f>
        <v>http://www.sec.gov/Archives/edgar/data/1383094/0001193125-16-522879-index.html</v>
      </c>
    </row>
    <row r="2485" spans="1:6" x14ac:dyDescent="0.2">
      <c r="A2485" t="s">
        <v>886</v>
      </c>
      <c r="B2485" s="1">
        <v>1383094</v>
      </c>
      <c r="C2485" s="1">
        <v>6189</v>
      </c>
      <c r="D2485" s="2">
        <v>42459</v>
      </c>
      <c r="E2485" s="1" t="s">
        <v>18</v>
      </c>
      <c r="F2485" t="str">
        <f>HYPERLINK("http://www.sec.gov/Archives/edgar/data/1383094/0001193125-16-522887-index.html")</f>
        <v>http://www.sec.gov/Archives/edgar/data/1383094/0001193125-16-522887-index.html</v>
      </c>
    </row>
    <row r="2486" spans="1:6" x14ac:dyDescent="0.2">
      <c r="A2486" t="s">
        <v>886</v>
      </c>
      <c r="B2486" s="1">
        <v>1383094</v>
      </c>
      <c r="C2486" s="1">
        <v>6189</v>
      </c>
      <c r="D2486" s="2">
        <v>42459</v>
      </c>
      <c r="E2486" s="1" t="s">
        <v>18</v>
      </c>
      <c r="F2486" t="str">
        <f>HYPERLINK("http://www.sec.gov/Archives/edgar/data/1383094/0001193125-16-522897-index.html")</f>
        <v>http://www.sec.gov/Archives/edgar/data/1383094/0001193125-16-522897-index.html</v>
      </c>
    </row>
    <row r="2487" spans="1:6" x14ac:dyDescent="0.2">
      <c r="A2487" t="s">
        <v>886</v>
      </c>
      <c r="B2487" s="1">
        <v>1383094</v>
      </c>
      <c r="C2487" s="1">
        <v>6189</v>
      </c>
      <c r="D2487" s="2">
        <v>42459</v>
      </c>
      <c r="E2487" s="1" t="s">
        <v>18</v>
      </c>
      <c r="F2487" t="str">
        <f>HYPERLINK("http://www.sec.gov/Archives/edgar/data/1383094/0001193125-16-522902-index.html")</f>
        <v>http://www.sec.gov/Archives/edgar/data/1383094/0001193125-16-522902-index.html</v>
      </c>
    </row>
    <row r="2488" spans="1:6" x14ac:dyDescent="0.2">
      <c r="A2488" t="s">
        <v>886</v>
      </c>
      <c r="B2488" s="1">
        <v>1383094</v>
      </c>
      <c r="C2488" s="1">
        <v>6189</v>
      </c>
      <c r="D2488" s="2">
        <v>42459</v>
      </c>
      <c r="E2488" s="1" t="s">
        <v>18</v>
      </c>
      <c r="F2488" t="str">
        <f>HYPERLINK("http://www.sec.gov/Archives/edgar/data/1383094/0001193125-16-522917-index.html")</f>
        <v>http://www.sec.gov/Archives/edgar/data/1383094/0001193125-16-522917-index.html</v>
      </c>
    </row>
    <row r="2489" spans="1:6" x14ac:dyDescent="0.2">
      <c r="A2489" t="s">
        <v>886</v>
      </c>
      <c r="B2489" s="1">
        <v>1383094</v>
      </c>
      <c r="C2489" s="1">
        <v>6189</v>
      </c>
      <c r="D2489" s="2">
        <v>42459</v>
      </c>
      <c r="E2489" s="1" t="s">
        <v>18</v>
      </c>
      <c r="F2489" t="str">
        <f>HYPERLINK("http://www.sec.gov/Archives/edgar/data/1383094/0001193125-16-522992-index.html")</f>
        <v>http://www.sec.gov/Archives/edgar/data/1383094/0001193125-16-522992-index.html</v>
      </c>
    </row>
    <row r="2490" spans="1:6" x14ac:dyDescent="0.2">
      <c r="A2490" t="s">
        <v>886</v>
      </c>
      <c r="B2490" s="1">
        <v>1383094</v>
      </c>
      <c r="C2490" s="1">
        <v>6189</v>
      </c>
      <c r="D2490" s="2">
        <v>42459</v>
      </c>
      <c r="E2490" s="1" t="s">
        <v>18</v>
      </c>
      <c r="F2490" t="str">
        <f>HYPERLINK("http://www.sec.gov/Archives/edgar/data/1383094/0001193125-16-522994-index.html")</f>
        <v>http://www.sec.gov/Archives/edgar/data/1383094/0001193125-16-522994-index.html</v>
      </c>
    </row>
    <row r="2491" spans="1:6" x14ac:dyDescent="0.2">
      <c r="A2491" t="s">
        <v>886</v>
      </c>
      <c r="B2491" s="1">
        <v>1383094</v>
      </c>
      <c r="C2491" s="1">
        <v>6189</v>
      </c>
      <c r="D2491" s="2">
        <v>42459</v>
      </c>
      <c r="E2491" s="1" t="s">
        <v>18</v>
      </c>
      <c r="F2491" t="str">
        <f>HYPERLINK("http://www.sec.gov/Archives/edgar/data/1383094/0001193125-16-523012-index.html")</f>
        <v>http://www.sec.gov/Archives/edgar/data/1383094/0001193125-16-523012-index.html</v>
      </c>
    </row>
    <row r="2492" spans="1:6" x14ac:dyDescent="0.2">
      <c r="A2492" t="s">
        <v>2254</v>
      </c>
      <c r="B2492" s="1">
        <v>1383154</v>
      </c>
      <c r="C2492" s="1">
        <v>3576</v>
      </c>
      <c r="D2492" s="2">
        <v>42459</v>
      </c>
      <c r="E2492" s="1" t="s">
        <v>18</v>
      </c>
      <c r="F2492" t="str">
        <f>HYPERLINK("http://www.sec.gov/Archives/edgar/data/1383154/0001185185-16-004085-index.html")</f>
        <v>http://www.sec.gov/Archives/edgar/data/1383154/0001185185-16-004085-index.html</v>
      </c>
    </row>
    <row r="2493" spans="1:6" x14ac:dyDescent="0.2">
      <c r="A2493" t="s">
        <v>2255</v>
      </c>
      <c r="B2493" s="1">
        <v>1389122</v>
      </c>
      <c r="C2493" s="1">
        <v>6211</v>
      </c>
      <c r="D2493" s="2">
        <v>42459</v>
      </c>
      <c r="E2493" s="1" t="s">
        <v>18</v>
      </c>
      <c r="F2493" t="str">
        <f>HYPERLINK("http://www.sec.gov/Archives/edgar/data/1389122/0001193125-16-524032-index.html")</f>
        <v>http://www.sec.gov/Archives/edgar/data/1389122/0001193125-16-524032-index.html</v>
      </c>
    </row>
    <row r="2494" spans="1:6" x14ac:dyDescent="0.2">
      <c r="A2494" t="s">
        <v>2256</v>
      </c>
      <c r="B2494" s="1">
        <v>1389123</v>
      </c>
      <c r="C2494" s="1">
        <v>6211</v>
      </c>
      <c r="D2494" s="2">
        <v>42459</v>
      </c>
      <c r="E2494" s="1" t="s">
        <v>18</v>
      </c>
      <c r="F2494" t="str">
        <f>HYPERLINK("http://www.sec.gov/Archives/edgar/data/1389123/0001193125-16-524032-index.html")</f>
        <v>http://www.sec.gov/Archives/edgar/data/1389123/0001193125-16-524032-index.html</v>
      </c>
    </row>
    <row r="2495" spans="1:6" x14ac:dyDescent="0.2">
      <c r="A2495" t="s">
        <v>2257</v>
      </c>
      <c r="B2495" s="1">
        <v>1389124</v>
      </c>
      <c r="C2495" s="1">
        <v>6211</v>
      </c>
      <c r="D2495" s="2">
        <v>42459</v>
      </c>
      <c r="E2495" s="1" t="s">
        <v>18</v>
      </c>
      <c r="F2495" t="str">
        <f>HYPERLINK("http://www.sec.gov/Archives/edgar/data/1389124/0001193125-16-524032-index.html")</f>
        <v>http://www.sec.gov/Archives/edgar/data/1389124/0001193125-16-524032-index.html</v>
      </c>
    </row>
    <row r="2496" spans="1:6" x14ac:dyDescent="0.2">
      <c r="A2496" t="s">
        <v>2258</v>
      </c>
      <c r="B2496" s="1">
        <v>1389125</v>
      </c>
      <c r="C2496" s="1">
        <v>6211</v>
      </c>
      <c r="D2496" s="2">
        <v>42459</v>
      </c>
      <c r="E2496" s="1" t="s">
        <v>18</v>
      </c>
      <c r="F2496" t="str">
        <f>HYPERLINK("http://www.sec.gov/Archives/edgar/data/1389125/0001193125-16-524032-index.html")</f>
        <v>http://www.sec.gov/Archives/edgar/data/1389125/0001193125-16-524032-index.html</v>
      </c>
    </row>
    <row r="2497" spans="1:6" x14ac:dyDescent="0.2">
      <c r="A2497" t="s">
        <v>2259</v>
      </c>
      <c r="B2497" s="1">
        <v>1389128</v>
      </c>
      <c r="C2497" s="1">
        <v>6211</v>
      </c>
      <c r="D2497" s="2">
        <v>42459</v>
      </c>
      <c r="E2497" s="1" t="s">
        <v>18</v>
      </c>
      <c r="F2497" t="str">
        <f>HYPERLINK("http://www.sec.gov/Archives/edgar/data/1389128/0001193125-16-524032-index.html")</f>
        <v>http://www.sec.gov/Archives/edgar/data/1389128/0001193125-16-524032-index.html</v>
      </c>
    </row>
    <row r="2498" spans="1:6" x14ac:dyDescent="0.2">
      <c r="A2498" t="s">
        <v>2260</v>
      </c>
      <c r="B2498" s="1">
        <v>1390162</v>
      </c>
      <c r="C2498" s="1">
        <v>6022</v>
      </c>
      <c r="D2498" s="2">
        <v>42459</v>
      </c>
      <c r="E2498" s="1" t="s">
        <v>18</v>
      </c>
      <c r="F2498" t="str">
        <f>HYPERLINK("http://www.sec.gov/Archives/edgar/data/1390162/0001144204-16-091338-index.html")</f>
        <v>http://www.sec.gov/Archives/edgar/data/1390162/0001144204-16-091338-index.html</v>
      </c>
    </row>
    <row r="2499" spans="1:6" x14ac:dyDescent="0.2">
      <c r="A2499" t="s">
        <v>1658</v>
      </c>
      <c r="B2499" s="1">
        <v>1390312</v>
      </c>
      <c r="C2499" s="1">
        <v>6022</v>
      </c>
      <c r="D2499" s="2">
        <v>42459</v>
      </c>
      <c r="E2499" s="1" t="s">
        <v>18</v>
      </c>
      <c r="F2499" t="str">
        <f>HYPERLINK("http://www.sec.gov/Archives/edgar/data/1390312/0001104659-16-108547-index.html")</f>
        <v>http://www.sec.gov/Archives/edgar/data/1390312/0001104659-16-108547-index.html</v>
      </c>
    </row>
    <row r="2500" spans="1:6" x14ac:dyDescent="0.2">
      <c r="A2500" t="s">
        <v>2261</v>
      </c>
      <c r="B2500" s="1">
        <v>1392380</v>
      </c>
      <c r="C2500" s="1">
        <v>2860</v>
      </c>
      <c r="D2500" s="2">
        <v>42459</v>
      </c>
      <c r="E2500" s="1" t="s">
        <v>18</v>
      </c>
      <c r="F2500" t="str">
        <f>HYPERLINK("http://www.sec.gov/Archives/edgar/data/1392380/0001564590-16-015604-index.html")</f>
        <v>http://www.sec.gov/Archives/edgar/data/1392380/0001564590-16-015604-index.html</v>
      </c>
    </row>
    <row r="2501" spans="1:6" x14ac:dyDescent="0.2">
      <c r="A2501" t="s">
        <v>2262</v>
      </c>
      <c r="B2501" s="1">
        <v>1392902</v>
      </c>
      <c r="C2501" s="1">
        <v>1000</v>
      </c>
      <c r="D2501" s="2">
        <v>42459</v>
      </c>
      <c r="E2501" s="1" t="s">
        <v>18</v>
      </c>
      <c r="F2501" t="str">
        <f>HYPERLINK("http://www.sec.gov/Archives/edgar/data/1392902/0001511164-16-000718-index.html")</f>
        <v>http://www.sec.gov/Archives/edgar/data/1392902/0001511164-16-000718-index.html</v>
      </c>
    </row>
    <row r="2502" spans="1:6" x14ac:dyDescent="0.2">
      <c r="A2502" t="s">
        <v>2263</v>
      </c>
      <c r="B2502" s="1">
        <v>1393359</v>
      </c>
      <c r="C2502" s="1">
        <v>6221</v>
      </c>
      <c r="D2502" s="2">
        <v>42459</v>
      </c>
      <c r="E2502" s="1" t="s">
        <v>18</v>
      </c>
      <c r="F2502" t="str">
        <f>HYPERLINK("http://www.sec.gov/Archives/edgar/data/1393359/0001104659-16-108364-index.html")</f>
        <v>http://www.sec.gov/Archives/edgar/data/1393359/0001104659-16-108364-index.html</v>
      </c>
    </row>
    <row r="2503" spans="1:6" x14ac:dyDescent="0.2">
      <c r="A2503" t="s">
        <v>2264</v>
      </c>
      <c r="B2503" s="1">
        <v>1395848</v>
      </c>
      <c r="C2503" s="1">
        <v>3674</v>
      </c>
      <c r="D2503" s="2">
        <v>42459</v>
      </c>
      <c r="E2503" s="1" t="s">
        <v>18</v>
      </c>
      <c r="F2503" t="str">
        <f>HYPERLINK("http://www.sec.gov/Archives/edgar/data/1395848/0001193125-16-523800-index.html")</f>
        <v>http://www.sec.gov/Archives/edgar/data/1395848/0001193125-16-523800-index.html</v>
      </c>
    </row>
    <row r="2504" spans="1:6" x14ac:dyDescent="0.2">
      <c r="A2504" t="s">
        <v>2265</v>
      </c>
      <c r="B2504" s="1">
        <v>1396238</v>
      </c>
      <c r="C2504" s="1">
        <v>3841</v>
      </c>
      <c r="D2504" s="2">
        <v>42459</v>
      </c>
      <c r="E2504" s="1" t="s">
        <v>18</v>
      </c>
      <c r="F2504" t="str">
        <f>HYPERLINK("http://www.sec.gov/Archives/edgar/data/1396238/0001554795-16-000602-index.html")</f>
        <v>http://www.sec.gov/Archives/edgar/data/1396238/0001554795-16-000602-index.html</v>
      </c>
    </row>
    <row r="2505" spans="1:6" x14ac:dyDescent="0.2">
      <c r="A2505" t="s">
        <v>2266</v>
      </c>
      <c r="B2505" s="1">
        <v>1396633</v>
      </c>
      <c r="C2505" s="1">
        <v>4911</v>
      </c>
      <c r="D2505" s="2">
        <v>42459</v>
      </c>
      <c r="E2505" s="1" t="s">
        <v>18</v>
      </c>
      <c r="F2505" t="str">
        <f>HYPERLINK("http://www.sec.gov/Archives/edgar/data/1396633/0001445866-16-001803-index.html")</f>
        <v>http://www.sec.gov/Archives/edgar/data/1396633/0001445866-16-001803-index.html</v>
      </c>
    </row>
    <row r="2506" spans="1:6" x14ac:dyDescent="0.2">
      <c r="A2506" t="s">
        <v>2267</v>
      </c>
      <c r="B2506" s="1">
        <v>1396730</v>
      </c>
      <c r="C2506" s="1">
        <v>6189</v>
      </c>
      <c r="D2506" s="2">
        <v>42459</v>
      </c>
      <c r="E2506" s="1" t="s">
        <v>18</v>
      </c>
      <c r="F2506" t="str">
        <f>HYPERLINK("http://www.sec.gov/Archives/edgar/data/1396730/0001193125-16-523880-index.html")</f>
        <v>http://www.sec.gov/Archives/edgar/data/1396730/0001193125-16-523880-index.html</v>
      </c>
    </row>
    <row r="2507" spans="1:6" x14ac:dyDescent="0.2">
      <c r="A2507" t="s">
        <v>2268</v>
      </c>
      <c r="B2507" s="1">
        <v>1397047</v>
      </c>
      <c r="C2507" s="1">
        <v>7359</v>
      </c>
      <c r="D2507" s="2">
        <v>42459</v>
      </c>
      <c r="E2507" s="1" t="s">
        <v>18</v>
      </c>
      <c r="F2507" t="str">
        <f>HYPERLINK("http://www.sec.gov/Archives/edgar/data/1397047/0001013762-16-001443-index.html")</f>
        <v>http://www.sec.gov/Archives/edgar/data/1397047/0001013762-16-001443-index.html</v>
      </c>
    </row>
    <row r="2508" spans="1:6" x14ac:dyDescent="0.2">
      <c r="A2508" t="s">
        <v>2269</v>
      </c>
      <c r="B2508" s="1">
        <v>1397187</v>
      </c>
      <c r="C2508" s="1">
        <v>2300</v>
      </c>
      <c r="D2508" s="2">
        <v>42459</v>
      </c>
      <c r="E2508" s="1" t="s">
        <v>18</v>
      </c>
      <c r="F2508" t="str">
        <f>HYPERLINK("http://www.sec.gov/Archives/edgar/data/1397187/0001397187-16-000089-index.html")</f>
        <v>http://www.sec.gov/Archives/edgar/data/1397187/0001397187-16-000089-index.html</v>
      </c>
    </row>
    <row r="2509" spans="1:6" x14ac:dyDescent="0.2">
      <c r="A2509" t="s">
        <v>2270</v>
      </c>
      <c r="B2509" s="1">
        <v>1398805</v>
      </c>
      <c r="C2509" s="1">
        <v>3674</v>
      </c>
      <c r="D2509" s="2">
        <v>42459</v>
      </c>
      <c r="E2509" s="1" t="s">
        <v>18</v>
      </c>
      <c r="F2509" t="str">
        <f>HYPERLINK("http://www.sec.gov/Archives/edgar/data/1398805/0001019687-16-005621-index.html")</f>
        <v>http://www.sec.gov/Archives/edgar/data/1398805/0001019687-16-005621-index.html</v>
      </c>
    </row>
    <row r="2510" spans="1:6" x14ac:dyDescent="0.2">
      <c r="A2510" t="s">
        <v>2271</v>
      </c>
      <c r="B2510" s="1">
        <v>1399352</v>
      </c>
      <c r="C2510" s="1">
        <v>8200</v>
      </c>
      <c r="D2510" s="2">
        <v>42459</v>
      </c>
      <c r="E2510" s="1" t="s">
        <v>18</v>
      </c>
      <c r="F2510" t="str">
        <f>HYPERLINK("http://www.sec.gov/Archives/edgar/data/1399352/0001477932-16-009349-index.html")</f>
        <v>http://www.sec.gov/Archives/edgar/data/1399352/0001477932-16-009349-index.html</v>
      </c>
    </row>
    <row r="2511" spans="1:6" x14ac:dyDescent="0.2">
      <c r="A2511" t="s">
        <v>2272</v>
      </c>
      <c r="B2511" s="1">
        <v>1399520</v>
      </c>
      <c r="C2511" s="1">
        <v>5812</v>
      </c>
      <c r="D2511" s="2">
        <v>42459</v>
      </c>
      <c r="E2511" s="1" t="s">
        <v>18</v>
      </c>
      <c r="F2511" t="str">
        <f>HYPERLINK("http://www.sec.gov/Archives/edgar/data/1399520/0001628280-16-013936-index.html")</f>
        <v>http://www.sec.gov/Archives/edgar/data/1399520/0001628280-16-013936-index.html</v>
      </c>
    </row>
    <row r="2512" spans="1:6" x14ac:dyDescent="0.2">
      <c r="A2512" t="s">
        <v>2273</v>
      </c>
      <c r="B2512" s="1">
        <v>1402371</v>
      </c>
      <c r="C2512" s="1">
        <v>7372</v>
      </c>
      <c r="D2512" s="2">
        <v>42459</v>
      </c>
      <c r="E2512" s="1" t="s">
        <v>18</v>
      </c>
      <c r="F2512" t="str">
        <f>HYPERLINK("http://www.sec.gov/Archives/edgar/data/1402371/0001477932-16-009287-index.html")</f>
        <v>http://www.sec.gov/Archives/edgar/data/1402371/0001477932-16-009287-index.html</v>
      </c>
    </row>
    <row r="2513" spans="1:6" x14ac:dyDescent="0.2">
      <c r="A2513" t="s">
        <v>2274</v>
      </c>
      <c r="B2513" s="1">
        <v>1402479</v>
      </c>
      <c r="C2513" s="1">
        <v>2834</v>
      </c>
      <c r="D2513" s="2">
        <v>42459</v>
      </c>
      <c r="E2513" s="1" t="s">
        <v>18</v>
      </c>
      <c r="F2513" t="str">
        <f>HYPERLINK("http://www.sec.gov/Archives/edgar/data/1402479/0001213900-16-012069-index.html")</f>
        <v>http://www.sec.gov/Archives/edgar/data/1402479/0001213900-16-012069-index.html</v>
      </c>
    </row>
    <row r="2514" spans="1:6" x14ac:dyDescent="0.2">
      <c r="A2514" t="s">
        <v>2275</v>
      </c>
      <c r="B2514" s="1">
        <v>1402737</v>
      </c>
      <c r="C2514" s="1">
        <v>3841</v>
      </c>
      <c r="D2514" s="2">
        <v>42459</v>
      </c>
      <c r="E2514" s="1" t="s">
        <v>18</v>
      </c>
      <c r="F2514" t="str">
        <f>HYPERLINK("http://www.sec.gov/Archives/edgar/data/1402737/0001594062-16-000417-index.html")</f>
        <v>http://www.sec.gov/Archives/edgar/data/1402737/0001594062-16-000417-index.html</v>
      </c>
    </row>
    <row r="2515" spans="1:6" x14ac:dyDescent="0.2">
      <c r="A2515" t="s">
        <v>2276</v>
      </c>
      <c r="B2515" s="1">
        <v>1402785</v>
      </c>
      <c r="C2515" s="1">
        <v>2835</v>
      </c>
      <c r="D2515" s="2">
        <v>42459</v>
      </c>
      <c r="E2515" s="1" t="s">
        <v>18</v>
      </c>
      <c r="F2515" t="str">
        <f>HYPERLINK("http://www.sec.gov/Archives/edgar/data/1402785/0001415889-16-005393-index.html")</f>
        <v>http://www.sec.gov/Archives/edgar/data/1402785/0001415889-16-005393-index.html</v>
      </c>
    </row>
    <row r="2516" spans="1:6" x14ac:dyDescent="0.2">
      <c r="A2516" t="s">
        <v>2277</v>
      </c>
      <c r="B2516" s="1">
        <v>1403568</v>
      </c>
      <c r="C2516" s="1">
        <v>5990</v>
      </c>
      <c r="D2516" s="2">
        <v>42459</v>
      </c>
      <c r="E2516" s="1" t="s">
        <v>18</v>
      </c>
      <c r="F2516" t="str">
        <f>HYPERLINK("http://www.sec.gov/Archives/edgar/data/1403568/0001193125-16-523101-index.html")</f>
        <v>http://www.sec.gov/Archives/edgar/data/1403568/0001193125-16-523101-index.html</v>
      </c>
    </row>
    <row r="2517" spans="1:6" x14ac:dyDescent="0.2">
      <c r="A2517" t="s">
        <v>2015</v>
      </c>
      <c r="B2517" s="1">
        <v>1403802</v>
      </c>
      <c r="C2517" s="1">
        <v>7389</v>
      </c>
      <c r="D2517" s="2">
        <v>42459</v>
      </c>
      <c r="E2517" s="1" t="s">
        <v>18</v>
      </c>
      <c r="F2517" t="str">
        <f>HYPERLINK("http://www.sec.gov/Archives/edgar/data/1403802/0001393905-16-000818-index.html")</f>
        <v>http://www.sec.gov/Archives/edgar/data/1403802/0001393905-16-000818-index.html</v>
      </c>
    </row>
    <row r="2518" spans="1:6" x14ac:dyDescent="0.2">
      <c r="A2518" t="s">
        <v>2278</v>
      </c>
      <c r="B2518" s="1">
        <v>1404804</v>
      </c>
      <c r="C2518" s="1">
        <v>3714</v>
      </c>
      <c r="D2518" s="2">
        <v>42459</v>
      </c>
      <c r="E2518" s="1" t="s">
        <v>18</v>
      </c>
      <c r="F2518" t="str">
        <f>HYPERLINK("http://www.sec.gov/Archives/edgar/data/1404804/0001445866-16-001805-index.html")</f>
        <v>http://www.sec.gov/Archives/edgar/data/1404804/0001445866-16-001805-index.html</v>
      </c>
    </row>
    <row r="2519" spans="1:6" x14ac:dyDescent="0.2">
      <c r="A2519" t="s">
        <v>2279</v>
      </c>
      <c r="B2519" s="1">
        <v>1405858</v>
      </c>
      <c r="C2519" s="1">
        <v>1090</v>
      </c>
      <c r="D2519" s="2">
        <v>42459</v>
      </c>
      <c r="E2519" s="1" t="s">
        <v>18</v>
      </c>
      <c r="F2519" t="str">
        <f>HYPERLINK("http://www.sec.gov/Archives/edgar/data/1405858/0001144204-16-091320-index.html")</f>
        <v>http://www.sec.gov/Archives/edgar/data/1405858/0001144204-16-091320-index.html</v>
      </c>
    </row>
    <row r="2520" spans="1:6" x14ac:dyDescent="0.2">
      <c r="A2520" t="s">
        <v>2280</v>
      </c>
      <c r="B2520" s="1">
        <v>1408351</v>
      </c>
      <c r="C2520" s="1">
        <v>1382</v>
      </c>
      <c r="D2520" s="2">
        <v>42459</v>
      </c>
      <c r="E2520" s="1" t="s">
        <v>18</v>
      </c>
      <c r="F2520" t="str">
        <f>HYPERLINK("http://www.sec.gov/Archives/edgar/data/1408351/0001493152-16-008429-index.html")</f>
        <v>http://www.sec.gov/Archives/edgar/data/1408351/0001493152-16-008429-index.html</v>
      </c>
    </row>
    <row r="2521" spans="1:6" x14ac:dyDescent="0.2">
      <c r="A2521" t="s">
        <v>2281</v>
      </c>
      <c r="B2521" s="1">
        <v>1409431</v>
      </c>
      <c r="C2521" s="1">
        <v>1040</v>
      </c>
      <c r="D2521" s="2">
        <v>42459</v>
      </c>
      <c r="E2521" s="1" t="s">
        <v>18</v>
      </c>
      <c r="F2521" t="str">
        <f>HYPERLINK("http://www.sec.gov/Archives/edgar/data/1409431/0001062993-16-008600-index.html")</f>
        <v>http://www.sec.gov/Archives/edgar/data/1409431/0001062993-16-008600-index.html</v>
      </c>
    </row>
    <row r="2522" spans="1:6" x14ac:dyDescent="0.2">
      <c r="A2522" t="s">
        <v>2282</v>
      </c>
      <c r="B2522" s="1">
        <v>1411643</v>
      </c>
      <c r="C2522" s="1">
        <v>1311</v>
      </c>
      <c r="D2522" s="2">
        <v>42459</v>
      </c>
      <c r="E2522" s="1" t="s">
        <v>18</v>
      </c>
      <c r="F2522" t="str">
        <f>HYPERLINK("http://www.sec.gov/Archives/edgar/data/1411643/0001104659-16-108715-index.html")</f>
        <v>http://www.sec.gov/Archives/edgar/data/1411643/0001104659-16-108715-index.html</v>
      </c>
    </row>
    <row r="2523" spans="1:6" x14ac:dyDescent="0.2">
      <c r="A2523" t="s">
        <v>2283</v>
      </c>
      <c r="B2523" s="1">
        <v>1411879</v>
      </c>
      <c r="C2523" s="1">
        <v>2834</v>
      </c>
      <c r="D2523" s="2">
        <v>42459</v>
      </c>
      <c r="E2523" s="1" t="s">
        <v>18</v>
      </c>
      <c r="F2523" t="str">
        <f>HYPERLINK("http://www.sec.gov/Archives/edgar/data/1411879/0001415889-16-005397-index.html")</f>
        <v>http://www.sec.gov/Archives/edgar/data/1411879/0001415889-16-005397-index.html</v>
      </c>
    </row>
    <row r="2524" spans="1:6" x14ac:dyDescent="0.2">
      <c r="A2524" t="s">
        <v>2284</v>
      </c>
      <c r="B2524" s="1">
        <v>1413119</v>
      </c>
      <c r="C2524" s="1">
        <v>2820</v>
      </c>
      <c r="D2524" s="2">
        <v>42459</v>
      </c>
      <c r="E2524" s="1" t="s">
        <v>18</v>
      </c>
      <c r="F2524" t="str">
        <f>HYPERLINK("http://www.sec.gov/Archives/edgar/data/1413119/0001654954-16-000209-index.html")</f>
        <v>http://www.sec.gov/Archives/edgar/data/1413119/0001654954-16-000209-index.html</v>
      </c>
    </row>
    <row r="2525" spans="1:6" x14ac:dyDescent="0.2">
      <c r="A2525" t="s">
        <v>2285</v>
      </c>
      <c r="B2525" s="1">
        <v>1415332</v>
      </c>
      <c r="C2525" s="1">
        <v>4899</v>
      </c>
      <c r="D2525" s="2">
        <v>42459</v>
      </c>
      <c r="E2525" s="1" t="s">
        <v>18</v>
      </c>
      <c r="F2525" t="str">
        <f>HYPERLINK("http://www.sec.gov/Archives/edgar/data/1415332/0001165527-16-000711-index.html")</f>
        <v>http://www.sec.gov/Archives/edgar/data/1415332/0001165527-16-000711-index.html</v>
      </c>
    </row>
    <row r="2526" spans="1:6" x14ac:dyDescent="0.2">
      <c r="A2526" t="s">
        <v>2286</v>
      </c>
      <c r="B2526" s="1">
        <v>1417663</v>
      </c>
      <c r="C2526" s="1">
        <v>3841</v>
      </c>
      <c r="D2526" s="2">
        <v>42459</v>
      </c>
      <c r="E2526" s="1" t="s">
        <v>18</v>
      </c>
      <c r="F2526" t="str">
        <f>HYPERLINK("http://www.sec.gov/Archives/edgar/data/1417663/0001437749-16-028700-index.html")</f>
        <v>http://www.sec.gov/Archives/edgar/data/1417663/0001437749-16-028700-index.html</v>
      </c>
    </row>
    <row r="2527" spans="1:6" x14ac:dyDescent="0.2">
      <c r="A2527" t="s">
        <v>2287</v>
      </c>
      <c r="B2527" s="1">
        <v>1419583</v>
      </c>
      <c r="C2527" s="1">
        <v>1311</v>
      </c>
      <c r="D2527" s="2">
        <v>42459</v>
      </c>
      <c r="E2527" s="1" t="s">
        <v>18</v>
      </c>
      <c r="F2527" t="str">
        <f>HYPERLINK("http://www.sec.gov/Archives/edgar/data/1419583/0001445866-16-001820-index.html")</f>
        <v>http://www.sec.gov/Archives/edgar/data/1419583/0001445866-16-001820-index.html</v>
      </c>
    </row>
    <row r="2528" spans="1:6" x14ac:dyDescent="0.2">
      <c r="A2528" t="s">
        <v>2288</v>
      </c>
      <c r="B2528" s="1">
        <v>1419951</v>
      </c>
      <c r="C2528" s="1">
        <v>7374</v>
      </c>
      <c r="D2528" s="2">
        <v>42459</v>
      </c>
      <c r="E2528" s="1" t="s">
        <v>18</v>
      </c>
      <c r="F2528" t="str">
        <f>HYPERLINK("http://www.sec.gov/Archives/edgar/data/1419951/0001615774-16-004722-index.html")</f>
        <v>http://www.sec.gov/Archives/edgar/data/1419951/0001615774-16-004722-index.html</v>
      </c>
    </row>
    <row r="2529" spans="1:6" x14ac:dyDescent="0.2">
      <c r="A2529" t="s">
        <v>2088</v>
      </c>
      <c r="B2529" s="1">
        <v>1420569</v>
      </c>
      <c r="C2529" s="1">
        <v>2086</v>
      </c>
      <c r="D2529" s="2">
        <v>42459</v>
      </c>
      <c r="E2529" s="1" t="s">
        <v>18</v>
      </c>
      <c r="F2529" t="str">
        <f>HYPERLINK("http://www.sec.gov/Archives/edgar/data/1420569/0001472375-16-000320-index.html")</f>
        <v>http://www.sec.gov/Archives/edgar/data/1420569/0001472375-16-000320-index.html</v>
      </c>
    </row>
    <row r="2530" spans="1:6" x14ac:dyDescent="0.2">
      <c r="A2530" t="s">
        <v>2289</v>
      </c>
      <c r="B2530" s="1">
        <v>1421204</v>
      </c>
      <c r="C2530" s="1">
        <v>2834</v>
      </c>
      <c r="D2530" s="2">
        <v>42459</v>
      </c>
      <c r="E2530" s="1" t="s">
        <v>18</v>
      </c>
      <c r="F2530" t="str">
        <f>HYPERLINK("http://www.sec.gov/Archives/edgar/data/1421204/0001144204-16-091511-index.html")</f>
        <v>http://www.sec.gov/Archives/edgar/data/1421204/0001144204-16-091511-index.html</v>
      </c>
    </row>
    <row r="2531" spans="1:6" x14ac:dyDescent="0.2">
      <c r="A2531" t="s">
        <v>2290</v>
      </c>
      <c r="B2531" s="1">
        <v>1422105</v>
      </c>
      <c r="C2531" s="1">
        <v>3334</v>
      </c>
      <c r="D2531" s="2">
        <v>42459</v>
      </c>
      <c r="E2531" s="1" t="s">
        <v>18</v>
      </c>
      <c r="F2531" t="str">
        <f>HYPERLINK("http://www.sec.gov/Archives/edgar/data/1422105/0001422105-16-000333-index.html")</f>
        <v>http://www.sec.gov/Archives/edgar/data/1422105/0001422105-16-000333-index.html</v>
      </c>
    </row>
    <row r="2532" spans="1:6" x14ac:dyDescent="0.2">
      <c r="A2532" t="s">
        <v>2291</v>
      </c>
      <c r="B2532" s="1">
        <v>1422141</v>
      </c>
      <c r="C2532" s="1">
        <v>6770</v>
      </c>
      <c r="D2532" s="2">
        <v>42459</v>
      </c>
      <c r="E2532" s="1" t="s">
        <v>18</v>
      </c>
      <c r="F2532" t="str">
        <f>HYPERLINK("http://www.sec.gov/Archives/edgar/data/1422141/0001213900-16-012022-index.html")</f>
        <v>http://www.sec.gov/Archives/edgar/data/1422141/0001213900-16-012022-index.html</v>
      </c>
    </row>
    <row r="2533" spans="1:6" x14ac:dyDescent="0.2">
      <c r="A2533" t="s">
        <v>2292</v>
      </c>
      <c r="B2533" s="1">
        <v>1422142</v>
      </c>
      <c r="C2533" s="1">
        <v>6770</v>
      </c>
      <c r="D2533" s="2">
        <v>42459</v>
      </c>
      <c r="E2533" s="1" t="s">
        <v>18</v>
      </c>
      <c r="F2533" t="str">
        <f>HYPERLINK("http://www.sec.gov/Archives/edgar/data/1422142/0001213900-16-012024-index.html")</f>
        <v>http://www.sec.gov/Archives/edgar/data/1422142/0001213900-16-012024-index.html</v>
      </c>
    </row>
    <row r="2534" spans="1:6" x14ac:dyDescent="0.2">
      <c r="A2534" t="s">
        <v>2293</v>
      </c>
      <c r="B2534" s="1">
        <v>1424328</v>
      </c>
      <c r="C2534" s="1">
        <v>7372</v>
      </c>
      <c r="D2534" s="2">
        <v>42459</v>
      </c>
      <c r="E2534" s="1" t="s">
        <v>18</v>
      </c>
      <c r="F2534" t="str">
        <f>HYPERLINK("http://www.sec.gov/Archives/edgar/data/1424328/0001477932-16-009297-index.html")</f>
        <v>http://www.sec.gov/Archives/edgar/data/1424328/0001477932-16-009297-index.html</v>
      </c>
    </row>
    <row r="2535" spans="1:6" x14ac:dyDescent="0.2">
      <c r="A2535" t="s">
        <v>415</v>
      </c>
      <c r="B2535" s="1">
        <v>1424768</v>
      </c>
      <c r="C2535" s="1">
        <v>3841</v>
      </c>
      <c r="D2535" s="2">
        <v>42459</v>
      </c>
      <c r="E2535" s="1" t="s">
        <v>18</v>
      </c>
      <c r="F2535" t="str">
        <f>HYPERLINK("http://www.sec.gov/Archives/edgar/data/1424768/0001654954-16-000200-index.html")</f>
        <v>http://www.sec.gov/Archives/edgar/data/1424768/0001654954-16-000200-index.html</v>
      </c>
    </row>
    <row r="2536" spans="1:6" x14ac:dyDescent="0.2">
      <c r="A2536" t="s">
        <v>2294</v>
      </c>
      <c r="B2536" s="1">
        <v>1424879</v>
      </c>
      <c r="C2536" s="1">
        <v>6798</v>
      </c>
      <c r="D2536" s="2">
        <v>42459</v>
      </c>
      <c r="E2536" s="1" t="s">
        <v>18</v>
      </c>
      <c r="F2536" t="str">
        <f>HYPERLINK("http://www.sec.gov/Archives/edgar/data/1424879/0001387131-16-004801-index.html")</f>
        <v>http://www.sec.gov/Archives/edgar/data/1424879/0001387131-16-004801-index.html</v>
      </c>
    </row>
    <row r="2537" spans="1:6" x14ac:dyDescent="0.2">
      <c r="A2537" t="s">
        <v>274</v>
      </c>
      <c r="B2537" s="1">
        <v>1425203</v>
      </c>
      <c r="C2537" s="1">
        <v>5020</v>
      </c>
      <c r="D2537" s="2">
        <v>42459</v>
      </c>
      <c r="E2537" s="1" t="s">
        <v>18</v>
      </c>
      <c r="F2537" t="str">
        <f>HYPERLINK("http://www.sec.gov/Archives/edgar/data/1425203/0001014897-16-000490-index.html")</f>
        <v>http://www.sec.gov/Archives/edgar/data/1425203/0001014897-16-000490-index.html</v>
      </c>
    </row>
    <row r="2538" spans="1:6" x14ac:dyDescent="0.2">
      <c r="A2538" t="s">
        <v>2295</v>
      </c>
      <c r="B2538" s="1">
        <v>1426850</v>
      </c>
      <c r="C2538" s="1">
        <v>7350</v>
      </c>
      <c r="D2538" s="2">
        <v>42459</v>
      </c>
      <c r="E2538" s="1" t="s">
        <v>18</v>
      </c>
      <c r="F2538" t="str">
        <f>HYPERLINK("http://www.sec.gov/Archives/edgar/data/1426850/0001140361-16-059398-index.html")</f>
        <v>http://www.sec.gov/Archives/edgar/data/1426850/0001140361-16-059398-index.html</v>
      </c>
    </row>
    <row r="2539" spans="1:6" x14ac:dyDescent="0.2">
      <c r="A2539" t="s">
        <v>2296</v>
      </c>
      <c r="B2539" s="1">
        <v>1430960</v>
      </c>
      <c r="C2539" s="1">
        <v>5070</v>
      </c>
      <c r="D2539" s="2">
        <v>42459</v>
      </c>
      <c r="E2539" s="1" t="s">
        <v>18</v>
      </c>
      <c r="F2539" t="str">
        <f>HYPERLINK("http://www.sec.gov/Archives/edgar/data/1430960/0001477932-16-009322-index.html")</f>
        <v>http://www.sec.gov/Archives/edgar/data/1430960/0001477932-16-009322-index.html</v>
      </c>
    </row>
    <row r="2540" spans="1:6" x14ac:dyDescent="0.2">
      <c r="A2540" t="s">
        <v>2297</v>
      </c>
      <c r="B2540" s="1">
        <v>1431074</v>
      </c>
      <c r="C2540" s="1">
        <v>3910</v>
      </c>
      <c r="D2540" s="2">
        <v>42459</v>
      </c>
      <c r="E2540" s="1" t="s">
        <v>18</v>
      </c>
      <c r="F2540" t="str">
        <f>HYPERLINK("http://www.sec.gov/Archives/edgar/data/1431074/0001393905-16-000815-index.html")</f>
        <v>http://www.sec.gov/Archives/edgar/data/1431074/0001393905-16-000815-index.html</v>
      </c>
    </row>
    <row r="2541" spans="1:6" x14ac:dyDescent="0.2">
      <c r="A2541" t="s">
        <v>2298</v>
      </c>
      <c r="B2541" s="1">
        <v>1431567</v>
      </c>
      <c r="C2541" s="1">
        <v>6022</v>
      </c>
      <c r="D2541" s="2">
        <v>42459</v>
      </c>
      <c r="E2541" s="1" t="s">
        <v>18</v>
      </c>
      <c r="F2541" t="str">
        <f>HYPERLINK("http://www.sec.gov/Archives/edgar/data/1431567/0001437749-16-028703-index.html")</f>
        <v>http://www.sec.gov/Archives/edgar/data/1431567/0001437749-16-028703-index.html</v>
      </c>
    </row>
    <row r="2542" spans="1:6" x14ac:dyDescent="0.2">
      <c r="A2542" t="s">
        <v>2299</v>
      </c>
      <c r="B2542" s="1">
        <v>1431959</v>
      </c>
      <c r="C2542" s="1">
        <v>1311</v>
      </c>
      <c r="D2542" s="2">
        <v>42459</v>
      </c>
      <c r="E2542" s="1" t="s">
        <v>18</v>
      </c>
      <c r="F2542" t="str">
        <f>HYPERLINK("http://www.sec.gov/Archives/edgar/data/1431959/0001199835-16-000696-index.html")</f>
        <v>http://www.sec.gov/Archives/edgar/data/1431959/0001199835-16-000696-index.html</v>
      </c>
    </row>
    <row r="2543" spans="1:6" x14ac:dyDescent="0.2">
      <c r="A2543" t="s">
        <v>2300</v>
      </c>
      <c r="B2543" s="1">
        <v>1433821</v>
      </c>
      <c r="C2543" s="1">
        <v>6512</v>
      </c>
      <c r="D2543" s="2">
        <v>42459</v>
      </c>
      <c r="E2543" s="1" t="s">
        <v>18</v>
      </c>
      <c r="F2543" t="str">
        <f>HYPERLINK("http://www.sec.gov/Archives/edgar/data/1433821/0001659173-16-000204-index.html")</f>
        <v>http://www.sec.gov/Archives/edgar/data/1433821/0001659173-16-000204-index.html</v>
      </c>
    </row>
    <row r="2544" spans="1:6" x14ac:dyDescent="0.2">
      <c r="A2544" t="s">
        <v>2301</v>
      </c>
      <c r="B2544" s="1">
        <v>1434110</v>
      </c>
      <c r="C2544" s="1">
        <v>1382</v>
      </c>
      <c r="D2544" s="2">
        <v>42459</v>
      </c>
      <c r="E2544" s="1" t="s">
        <v>18</v>
      </c>
      <c r="F2544" t="str">
        <f>HYPERLINK("http://www.sec.gov/Archives/edgar/data/1434110/0001144204-16-091311-index.html")</f>
        <v>http://www.sec.gov/Archives/edgar/data/1434110/0001144204-16-091311-index.html</v>
      </c>
    </row>
    <row r="2545" spans="1:6" x14ac:dyDescent="0.2">
      <c r="A2545" t="s">
        <v>2302</v>
      </c>
      <c r="B2545" s="1">
        <v>1434842</v>
      </c>
      <c r="C2545" s="1">
        <v>1389</v>
      </c>
      <c r="D2545" s="2">
        <v>42459</v>
      </c>
      <c r="E2545" s="1" t="s">
        <v>18</v>
      </c>
      <c r="F2545" t="str">
        <f>HYPERLINK("http://www.sec.gov/Archives/edgar/data/1434842/0001434842-16-000069-index.html")</f>
        <v>http://www.sec.gov/Archives/edgar/data/1434842/0001434842-16-000069-index.html</v>
      </c>
    </row>
    <row r="2546" spans="1:6" x14ac:dyDescent="0.2">
      <c r="A2546" t="s">
        <v>2303</v>
      </c>
      <c r="B2546" s="1">
        <v>1440760</v>
      </c>
      <c r="C2546" s="1">
        <v>7374</v>
      </c>
      <c r="D2546" s="2">
        <v>42459</v>
      </c>
      <c r="E2546" s="1" t="s">
        <v>18</v>
      </c>
      <c r="F2546" t="str">
        <f>HYPERLINK("http://www.sec.gov/Archives/edgar/data/1440760/0001144204-16-091377-index.html")</f>
        <v>http://www.sec.gov/Archives/edgar/data/1440760/0001144204-16-091377-index.html</v>
      </c>
    </row>
    <row r="2547" spans="1:6" x14ac:dyDescent="0.2">
      <c r="A2547" t="s">
        <v>2304</v>
      </c>
      <c r="B2547" s="1">
        <v>1441693</v>
      </c>
      <c r="C2547" s="1">
        <v>2870</v>
      </c>
      <c r="D2547" s="2">
        <v>42459</v>
      </c>
      <c r="E2547" s="1" t="s">
        <v>18</v>
      </c>
      <c r="F2547" t="str">
        <f>HYPERLINK("http://www.sec.gov/Archives/edgar/data/1441693/0001193125-16-523740-index.html")</f>
        <v>http://www.sec.gov/Archives/edgar/data/1441693/0001193125-16-523740-index.html</v>
      </c>
    </row>
    <row r="2548" spans="1:6" x14ac:dyDescent="0.2">
      <c r="A2548" t="s">
        <v>2305</v>
      </c>
      <c r="B2548" s="1">
        <v>1444145</v>
      </c>
      <c r="C2548" s="1">
        <v>6770</v>
      </c>
      <c r="D2548" s="2">
        <v>42459</v>
      </c>
      <c r="E2548" s="1" t="s">
        <v>18</v>
      </c>
      <c r="F2548" t="str">
        <f>HYPERLINK("http://www.sec.gov/Archives/edgar/data/1444145/0001554795-16-000598-index.html")</f>
        <v>http://www.sec.gov/Archives/edgar/data/1444145/0001554795-16-000598-index.html</v>
      </c>
    </row>
    <row r="2549" spans="1:6" x14ac:dyDescent="0.2">
      <c r="A2549" t="s">
        <v>2306</v>
      </c>
      <c r="B2549" s="1">
        <v>1445283</v>
      </c>
      <c r="C2549" s="1">
        <v>2834</v>
      </c>
      <c r="D2549" s="2">
        <v>42459</v>
      </c>
      <c r="E2549" s="1" t="s">
        <v>18</v>
      </c>
      <c r="F2549" t="str">
        <f>HYPERLINK("http://www.sec.gov/Archives/edgar/data/1445283/0001193125-16-524022-index.html")</f>
        <v>http://www.sec.gov/Archives/edgar/data/1445283/0001193125-16-524022-index.html</v>
      </c>
    </row>
    <row r="2550" spans="1:6" x14ac:dyDescent="0.2">
      <c r="A2550" t="s">
        <v>2307</v>
      </c>
      <c r="B2550" s="1">
        <v>1446371</v>
      </c>
      <c r="C2550" s="1">
        <v>6798</v>
      </c>
      <c r="D2550" s="2">
        <v>42459</v>
      </c>
      <c r="E2550" s="1" t="s">
        <v>18</v>
      </c>
      <c r="F2550" t="str">
        <f>HYPERLINK("http://www.sec.gov/Archives/edgar/data/1446371/0001144204-16-091512-index.html")</f>
        <v>http://www.sec.gov/Archives/edgar/data/1446371/0001144204-16-091512-index.html</v>
      </c>
    </row>
    <row r="2551" spans="1:6" x14ac:dyDescent="0.2">
      <c r="A2551" t="s">
        <v>2308</v>
      </c>
      <c r="B2551" s="1">
        <v>1446806</v>
      </c>
      <c r="C2551" s="1">
        <v>7359</v>
      </c>
      <c r="D2551" s="2">
        <v>42459</v>
      </c>
      <c r="E2551" s="1" t="s">
        <v>18</v>
      </c>
      <c r="F2551" t="str">
        <f>HYPERLINK("http://www.sec.gov/Archives/edgar/data/1446806/0001446806-16-000020-index.html")</f>
        <v>http://www.sec.gov/Archives/edgar/data/1446806/0001446806-16-000020-index.html</v>
      </c>
    </row>
    <row r="2552" spans="1:6" x14ac:dyDescent="0.2">
      <c r="A2552" t="s">
        <v>2309</v>
      </c>
      <c r="B2552" s="1">
        <v>1447380</v>
      </c>
      <c r="C2552" s="1">
        <v>7372</v>
      </c>
      <c r="D2552" s="2">
        <v>42459</v>
      </c>
      <c r="E2552" s="1" t="s">
        <v>18</v>
      </c>
      <c r="F2552" t="str">
        <f>HYPERLINK("http://www.sec.gov/Archives/edgar/data/1447380/0001562762-16-000365-index.html")</f>
        <v>http://www.sec.gov/Archives/edgar/data/1447380/0001562762-16-000365-index.html</v>
      </c>
    </row>
    <row r="2553" spans="1:6" x14ac:dyDescent="0.2">
      <c r="A2553" t="s">
        <v>2310</v>
      </c>
      <c r="B2553" s="1">
        <v>1448038</v>
      </c>
      <c r="C2553" s="1">
        <v>6500</v>
      </c>
      <c r="D2553" s="2">
        <v>42459</v>
      </c>
      <c r="E2553" s="1" t="s">
        <v>18</v>
      </c>
      <c r="F2553" t="str">
        <f>HYPERLINK("http://www.sec.gov/Archives/edgar/data/1448038/0001193125-16-523979-index.html")</f>
        <v>http://www.sec.gov/Archives/edgar/data/1448038/0001193125-16-523979-index.html</v>
      </c>
    </row>
    <row r="2554" spans="1:6" x14ac:dyDescent="0.2">
      <c r="A2554" t="s">
        <v>2311</v>
      </c>
      <c r="B2554" s="1">
        <v>1448597</v>
      </c>
      <c r="C2554" s="1">
        <v>1000</v>
      </c>
      <c r="D2554" s="2">
        <v>42459</v>
      </c>
      <c r="E2554" s="1" t="s">
        <v>18</v>
      </c>
      <c r="F2554" t="str">
        <f>HYPERLINK("http://www.sec.gov/Archives/edgar/data/1448597/0001393905-16-000811-index.html")</f>
        <v>http://www.sec.gov/Archives/edgar/data/1448597/0001393905-16-000811-index.html</v>
      </c>
    </row>
    <row r="2555" spans="1:6" x14ac:dyDescent="0.2">
      <c r="A2555" t="s">
        <v>2312</v>
      </c>
      <c r="B2555" s="1">
        <v>1449794</v>
      </c>
      <c r="C2555" s="1">
        <v>6022</v>
      </c>
      <c r="D2555" s="2">
        <v>42459</v>
      </c>
      <c r="E2555" s="1" t="s">
        <v>18</v>
      </c>
      <c r="F2555" t="str">
        <f>HYPERLINK("http://www.sec.gov/Archives/edgar/data/1449794/0001449794-16-000038-index.html")</f>
        <v>http://www.sec.gov/Archives/edgar/data/1449794/0001449794-16-000038-index.html</v>
      </c>
    </row>
    <row r="2556" spans="1:6" x14ac:dyDescent="0.2">
      <c r="A2556" t="s">
        <v>2313</v>
      </c>
      <c r="B2556" s="1">
        <v>1450335</v>
      </c>
      <c r="C2556" s="1">
        <v>7350</v>
      </c>
      <c r="D2556" s="2">
        <v>42459</v>
      </c>
      <c r="E2556" s="1" t="s">
        <v>18</v>
      </c>
      <c r="F2556" t="str">
        <f>HYPERLINK("http://www.sec.gov/Archives/edgar/data/1450335/0001376474-16-000633-index.html")</f>
        <v>http://www.sec.gov/Archives/edgar/data/1450335/0001376474-16-000633-index.html</v>
      </c>
    </row>
    <row r="2557" spans="1:6" x14ac:dyDescent="0.2">
      <c r="A2557" t="s">
        <v>2314</v>
      </c>
      <c r="B2557" s="1">
        <v>1450720</v>
      </c>
      <c r="C2557" s="1">
        <v>6211</v>
      </c>
      <c r="D2557" s="2">
        <v>42459</v>
      </c>
      <c r="E2557" s="1" t="s">
        <v>18</v>
      </c>
      <c r="F2557" t="str">
        <f>HYPERLINK("http://www.sec.gov/Archives/edgar/data/1450720/0001193125-16-524032-index.html")</f>
        <v>http://www.sec.gov/Archives/edgar/data/1450720/0001193125-16-524032-index.html</v>
      </c>
    </row>
    <row r="2558" spans="1:6" x14ac:dyDescent="0.2">
      <c r="A2558" t="s">
        <v>2315</v>
      </c>
      <c r="B2558" s="1">
        <v>1450722</v>
      </c>
      <c r="C2558" s="1">
        <v>6211</v>
      </c>
      <c r="D2558" s="2">
        <v>42459</v>
      </c>
      <c r="E2558" s="1" t="s">
        <v>18</v>
      </c>
      <c r="F2558" t="str">
        <f>HYPERLINK("http://www.sec.gov/Archives/edgar/data/1450722/0001193125-16-524032-index.html")</f>
        <v>http://www.sec.gov/Archives/edgar/data/1450722/0001193125-16-524032-index.html</v>
      </c>
    </row>
    <row r="2559" spans="1:6" x14ac:dyDescent="0.2">
      <c r="A2559" t="s">
        <v>2316</v>
      </c>
      <c r="B2559" s="1">
        <v>1456212</v>
      </c>
      <c r="C2559" s="1">
        <v>3630</v>
      </c>
      <c r="D2559" s="2">
        <v>42459</v>
      </c>
      <c r="E2559" s="1" t="s">
        <v>18</v>
      </c>
      <c r="F2559" t="str">
        <f>HYPERLINK("http://www.sec.gov/Archives/edgar/data/1456212/0001096906-16-001513-index.html")</f>
        <v>http://www.sec.gov/Archives/edgar/data/1456212/0001096906-16-001513-index.html</v>
      </c>
    </row>
    <row r="2560" spans="1:6" x14ac:dyDescent="0.2">
      <c r="A2560" t="s">
        <v>2317</v>
      </c>
      <c r="B2560" s="1">
        <v>1456857</v>
      </c>
      <c r="C2560" s="1">
        <v>7389</v>
      </c>
      <c r="D2560" s="2">
        <v>42459</v>
      </c>
      <c r="E2560" s="1" t="s">
        <v>18</v>
      </c>
      <c r="F2560" t="str">
        <f>HYPERLINK("http://www.sec.gov/Archives/edgar/data/1456857/0001580957-16-000566-index.html")</f>
        <v>http://www.sec.gov/Archives/edgar/data/1456857/0001580957-16-000566-index.html</v>
      </c>
    </row>
    <row r="2561" spans="1:6" x14ac:dyDescent="0.2">
      <c r="A2561" t="s">
        <v>2318</v>
      </c>
      <c r="B2561" s="1">
        <v>1461640</v>
      </c>
      <c r="C2561" s="1">
        <v>6022</v>
      </c>
      <c r="D2561" s="2">
        <v>42459</v>
      </c>
      <c r="E2561" s="1" t="s">
        <v>18</v>
      </c>
      <c r="F2561" t="str">
        <f>HYPERLINK("http://www.sec.gov/Archives/edgar/data/1461640/0001437749-16-028616-index.html")</f>
        <v>http://www.sec.gov/Archives/edgar/data/1461640/0001437749-16-028616-index.html</v>
      </c>
    </row>
    <row r="2562" spans="1:6" x14ac:dyDescent="0.2">
      <c r="A2562" t="s">
        <v>2319</v>
      </c>
      <c r="B2562" s="1">
        <v>1461755</v>
      </c>
      <c r="C2562" s="1">
        <v>6022</v>
      </c>
      <c r="D2562" s="2">
        <v>42459</v>
      </c>
      <c r="E2562" s="1" t="s">
        <v>18</v>
      </c>
      <c r="F2562" t="str">
        <f>HYPERLINK("http://www.sec.gov/Archives/edgar/data/1461755/0001461755-16-000072-index.html")</f>
        <v>http://www.sec.gov/Archives/edgar/data/1461755/0001461755-16-000072-index.html</v>
      </c>
    </row>
    <row r="2563" spans="1:6" x14ac:dyDescent="0.2">
      <c r="A2563" t="s">
        <v>2320</v>
      </c>
      <c r="B2563" s="1">
        <v>1463389</v>
      </c>
      <c r="C2563" s="1">
        <v>7359</v>
      </c>
      <c r="D2563" s="2">
        <v>42459</v>
      </c>
      <c r="E2563" s="1" t="s">
        <v>18</v>
      </c>
      <c r="F2563" t="str">
        <f>HYPERLINK("http://www.sec.gov/Archives/edgar/data/1463389/0001144204-16-091091-index.html")</f>
        <v>http://www.sec.gov/Archives/edgar/data/1463389/0001144204-16-091091-index.html</v>
      </c>
    </row>
    <row r="2564" spans="1:6" x14ac:dyDescent="0.2">
      <c r="A2564" t="s">
        <v>2321</v>
      </c>
      <c r="B2564" s="1">
        <v>1463972</v>
      </c>
      <c r="C2564" s="1">
        <v>3663</v>
      </c>
      <c r="D2564" s="2">
        <v>42459</v>
      </c>
      <c r="E2564" s="1" t="s">
        <v>18</v>
      </c>
      <c r="F2564" t="str">
        <f>HYPERLINK("http://www.sec.gov/Archives/edgar/data/1463972/0001144204-16-091496-index.html")</f>
        <v>http://www.sec.gov/Archives/edgar/data/1463972/0001144204-16-091496-index.html</v>
      </c>
    </row>
    <row r="2565" spans="1:6" x14ac:dyDescent="0.2">
      <c r="A2565" t="s">
        <v>2322</v>
      </c>
      <c r="B2565" s="1">
        <v>1464343</v>
      </c>
      <c r="C2565" s="1">
        <v>6141</v>
      </c>
      <c r="D2565" s="2">
        <v>42459</v>
      </c>
      <c r="E2565" s="1" t="s">
        <v>18</v>
      </c>
      <c r="F2565" t="str">
        <f>HYPERLINK("http://www.sec.gov/Archives/edgar/data/1464343/0001464343-16-000024-index.html")</f>
        <v>http://www.sec.gov/Archives/edgar/data/1464343/0001464343-16-000024-index.html</v>
      </c>
    </row>
    <row r="2566" spans="1:6" x14ac:dyDescent="0.2">
      <c r="A2566" t="s">
        <v>2323</v>
      </c>
      <c r="B2566" s="1">
        <v>1466225</v>
      </c>
      <c r="C2566" s="1">
        <v>6798</v>
      </c>
      <c r="D2566" s="2">
        <v>42459</v>
      </c>
      <c r="E2566" s="1" t="s">
        <v>18</v>
      </c>
      <c r="F2566" t="str">
        <f>HYPERLINK("http://www.sec.gov/Archives/edgar/data/1466225/0001466225-16-000027-index.html")</f>
        <v>http://www.sec.gov/Archives/edgar/data/1466225/0001466225-16-000027-index.html</v>
      </c>
    </row>
    <row r="2567" spans="1:6" x14ac:dyDescent="0.2">
      <c r="A2567" t="s">
        <v>2324</v>
      </c>
      <c r="B2567" s="1">
        <v>1469038</v>
      </c>
      <c r="C2567" s="1">
        <v>7374</v>
      </c>
      <c r="D2567" s="2">
        <v>42459</v>
      </c>
      <c r="E2567" s="1" t="s">
        <v>18</v>
      </c>
      <c r="F2567" t="str">
        <f>HYPERLINK("http://www.sec.gov/Archives/edgar/data/1469038/0001019687-16-005660-index.html")</f>
        <v>http://www.sec.gov/Archives/edgar/data/1469038/0001019687-16-005660-index.html</v>
      </c>
    </row>
    <row r="2568" spans="1:6" x14ac:dyDescent="0.2">
      <c r="A2568" t="s">
        <v>2325</v>
      </c>
      <c r="B2568" s="1">
        <v>1469317</v>
      </c>
      <c r="C2568" s="1">
        <v>6221</v>
      </c>
      <c r="D2568" s="2">
        <v>42459</v>
      </c>
      <c r="E2568" s="1" t="s">
        <v>18</v>
      </c>
      <c r="F2568" t="str">
        <f>HYPERLINK("http://www.sec.gov/Archives/edgar/data/1469317/0001398344-16-011427-index.html")</f>
        <v>http://www.sec.gov/Archives/edgar/data/1469317/0001398344-16-011427-index.html</v>
      </c>
    </row>
    <row r="2569" spans="1:6" x14ac:dyDescent="0.2">
      <c r="A2569" t="s">
        <v>2326</v>
      </c>
      <c r="B2569" s="1">
        <v>1473579</v>
      </c>
      <c r="C2569" s="1">
        <v>2834</v>
      </c>
      <c r="D2569" s="2">
        <v>42459</v>
      </c>
      <c r="E2569" s="1" t="s">
        <v>18</v>
      </c>
      <c r="F2569" t="str">
        <f>HYPERLINK("http://www.sec.gov/Archives/edgar/data/1473579/0001102624-16-002414-index.html")</f>
        <v>http://www.sec.gov/Archives/edgar/data/1473579/0001102624-16-002414-index.html</v>
      </c>
    </row>
    <row r="2570" spans="1:6" x14ac:dyDescent="0.2">
      <c r="A2570" t="s">
        <v>2327</v>
      </c>
      <c r="B2570" s="1">
        <v>1474777</v>
      </c>
      <c r="C2570" s="1">
        <v>6798</v>
      </c>
      <c r="D2570" s="2">
        <v>42459</v>
      </c>
      <c r="E2570" s="1" t="s">
        <v>18</v>
      </c>
      <c r="F2570" t="str">
        <f>HYPERLINK("http://www.sec.gov/Archives/edgar/data/1474777/0001564590-16-015680-index.html")</f>
        <v>http://www.sec.gov/Archives/edgar/data/1474777/0001564590-16-015680-index.html</v>
      </c>
    </row>
    <row r="2571" spans="1:6" x14ac:dyDescent="0.2">
      <c r="A2571" t="s">
        <v>2328</v>
      </c>
      <c r="B2571" s="1">
        <v>1482912</v>
      </c>
      <c r="C2571" s="1">
        <v>6189</v>
      </c>
      <c r="D2571" s="2">
        <v>42459</v>
      </c>
      <c r="E2571" s="1" t="s">
        <v>18</v>
      </c>
      <c r="F2571" t="str">
        <f>HYPERLINK("http://www.sec.gov/Archives/edgar/data/1482912/0001193125-16-523095-index.html")</f>
        <v>http://www.sec.gov/Archives/edgar/data/1482912/0001193125-16-523095-index.html</v>
      </c>
    </row>
    <row r="2572" spans="1:6" x14ac:dyDescent="0.2">
      <c r="A2572" t="s">
        <v>2329</v>
      </c>
      <c r="B2572" s="1">
        <v>1482913</v>
      </c>
      <c r="C2572" s="1">
        <v>6189</v>
      </c>
      <c r="D2572" s="2">
        <v>42459</v>
      </c>
      <c r="E2572" s="1" t="s">
        <v>18</v>
      </c>
      <c r="F2572" t="str">
        <f>HYPERLINK("http://www.sec.gov/Archives/edgar/data/1482913/0001193125-16-523075-index.html")</f>
        <v>http://www.sec.gov/Archives/edgar/data/1482913/0001193125-16-523075-index.html</v>
      </c>
    </row>
    <row r="2573" spans="1:6" x14ac:dyDescent="0.2">
      <c r="A2573" t="s">
        <v>2330</v>
      </c>
      <c r="B2573" s="1">
        <v>1483510</v>
      </c>
      <c r="C2573" s="1">
        <v>5600</v>
      </c>
      <c r="D2573" s="2">
        <v>42459</v>
      </c>
      <c r="E2573" s="1" t="s">
        <v>18</v>
      </c>
      <c r="F2573" t="str">
        <f>HYPERLINK("http://www.sec.gov/Archives/edgar/data/1483510/0001483510-16-000197-index.html")</f>
        <v>http://www.sec.gov/Archives/edgar/data/1483510/0001483510-16-000197-index.html</v>
      </c>
    </row>
    <row r="2574" spans="1:6" x14ac:dyDescent="0.2">
      <c r="A2574" t="s">
        <v>2331</v>
      </c>
      <c r="B2574" s="1">
        <v>1485074</v>
      </c>
      <c r="C2574" s="1">
        <v>7372</v>
      </c>
      <c r="D2574" s="2">
        <v>42459</v>
      </c>
      <c r="E2574" s="1" t="s">
        <v>18</v>
      </c>
      <c r="F2574" t="str">
        <f>HYPERLINK("http://www.sec.gov/Archives/edgar/data/1485074/0001477932-16-009356-index.html")</f>
        <v>http://www.sec.gov/Archives/edgar/data/1485074/0001477932-16-009356-index.html</v>
      </c>
    </row>
    <row r="2575" spans="1:6" x14ac:dyDescent="0.2">
      <c r="A2575" t="s">
        <v>2332</v>
      </c>
      <c r="B2575" s="1">
        <v>1487197</v>
      </c>
      <c r="C2575" s="1">
        <v>2030</v>
      </c>
      <c r="D2575" s="2">
        <v>42459</v>
      </c>
      <c r="E2575" s="1" t="s">
        <v>21</v>
      </c>
      <c r="F2575" t="str">
        <f>HYPERLINK("http://www.sec.gov/Archives/edgar/data/1487197/0001493152-16-008416-index.html")</f>
        <v>http://www.sec.gov/Archives/edgar/data/1487197/0001493152-16-008416-index.html</v>
      </c>
    </row>
    <row r="2576" spans="1:6" x14ac:dyDescent="0.2">
      <c r="A2576" t="s">
        <v>745</v>
      </c>
      <c r="B2576" s="1">
        <v>1487843</v>
      </c>
      <c r="C2576" s="1">
        <v>6500</v>
      </c>
      <c r="D2576" s="2">
        <v>42459</v>
      </c>
      <c r="E2576" s="1" t="s">
        <v>42</v>
      </c>
      <c r="F2576" t="str">
        <f>HYPERLINK("http://www.sec.gov/Archives/edgar/data/1487843/0001213900-16-012034-index.html")</f>
        <v>http://www.sec.gov/Archives/edgar/data/1487843/0001213900-16-012034-index.html</v>
      </c>
    </row>
    <row r="2577" spans="1:6" x14ac:dyDescent="0.2">
      <c r="A2577" t="s">
        <v>2333</v>
      </c>
      <c r="B2577" s="1">
        <v>1488039</v>
      </c>
      <c r="C2577" s="1">
        <v>3841</v>
      </c>
      <c r="D2577" s="2">
        <v>42459</v>
      </c>
      <c r="E2577" s="1" t="s">
        <v>18</v>
      </c>
      <c r="F2577" t="str">
        <f>HYPERLINK("http://www.sec.gov/Archives/edgar/data/1488039/0001144204-16-091380-index.html")</f>
        <v>http://www.sec.gov/Archives/edgar/data/1488039/0001144204-16-091380-index.html</v>
      </c>
    </row>
    <row r="2578" spans="1:6" x14ac:dyDescent="0.2">
      <c r="A2578" t="s">
        <v>2334</v>
      </c>
      <c r="B2578" s="1">
        <v>1488419</v>
      </c>
      <c r="C2578" s="1">
        <v>900</v>
      </c>
      <c r="D2578" s="2">
        <v>42459</v>
      </c>
      <c r="E2578" s="1" t="s">
        <v>18</v>
      </c>
      <c r="F2578" t="str">
        <f>HYPERLINK("http://www.sec.gov/Archives/edgar/data/1488419/0001144204-16-091487-index.html")</f>
        <v>http://www.sec.gov/Archives/edgar/data/1488419/0001144204-16-091487-index.html</v>
      </c>
    </row>
    <row r="2579" spans="1:6" x14ac:dyDescent="0.2">
      <c r="A2579" t="s">
        <v>2335</v>
      </c>
      <c r="B2579" s="1">
        <v>1489367</v>
      </c>
      <c r="C2579" s="1">
        <v>7359</v>
      </c>
      <c r="D2579" s="2">
        <v>42459</v>
      </c>
      <c r="E2579" s="1" t="s">
        <v>18</v>
      </c>
      <c r="F2579" t="str">
        <f>HYPERLINK("http://www.sec.gov/Archives/edgar/data/1489367/0001493152-16-008451-index.html")</f>
        <v>http://www.sec.gov/Archives/edgar/data/1489367/0001493152-16-008451-index.html</v>
      </c>
    </row>
    <row r="2580" spans="1:6" x14ac:dyDescent="0.2">
      <c r="A2580" t="s">
        <v>2336</v>
      </c>
      <c r="B2580" s="1">
        <v>1490028</v>
      </c>
      <c r="C2580" s="1">
        <v>6189</v>
      </c>
      <c r="D2580" s="2">
        <v>42459</v>
      </c>
      <c r="E2580" s="1" t="s">
        <v>18</v>
      </c>
      <c r="F2580" t="str">
        <f>HYPERLINK("http://www.sec.gov/Archives/edgar/data/1490028/0001193125-16-523847-index.html")</f>
        <v>http://www.sec.gov/Archives/edgar/data/1490028/0001193125-16-523847-index.html</v>
      </c>
    </row>
    <row r="2581" spans="1:6" x14ac:dyDescent="0.2">
      <c r="A2581" t="s">
        <v>2337</v>
      </c>
      <c r="B2581" s="1">
        <v>1490161</v>
      </c>
      <c r="C2581" s="1">
        <v>1311</v>
      </c>
      <c r="D2581" s="2">
        <v>42459</v>
      </c>
      <c r="E2581" s="1" t="s">
        <v>18</v>
      </c>
      <c r="F2581" t="str">
        <f>HYPERLINK("http://www.sec.gov/Archives/edgar/data/1490161/0001019687-16-005673-index.html")</f>
        <v>http://www.sec.gov/Archives/edgar/data/1490161/0001019687-16-005673-index.html</v>
      </c>
    </row>
    <row r="2582" spans="1:6" x14ac:dyDescent="0.2">
      <c r="A2582" t="s">
        <v>2338</v>
      </c>
      <c r="B2582" s="1">
        <v>1493761</v>
      </c>
      <c r="C2582" s="1">
        <v>3669</v>
      </c>
      <c r="D2582" s="2">
        <v>42459</v>
      </c>
      <c r="E2582" s="1" t="s">
        <v>18</v>
      </c>
      <c r="F2582" t="str">
        <f>HYPERLINK("http://www.sec.gov/Archives/edgar/data/1493761/0001493761-16-000045-index.html")</f>
        <v>http://www.sec.gov/Archives/edgar/data/1493761/0001493761-16-000045-index.html</v>
      </c>
    </row>
    <row r="2583" spans="1:6" x14ac:dyDescent="0.2">
      <c r="A2583" t="s">
        <v>2339</v>
      </c>
      <c r="B2583" s="1">
        <v>1494582</v>
      </c>
      <c r="C2583" s="1">
        <v>6510</v>
      </c>
      <c r="D2583" s="2">
        <v>42459</v>
      </c>
      <c r="E2583" s="1" t="s">
        <v>18</v>
      </c>
      <c r="F2583" t="str">
        <f>HYPERLINK("http://www.sec.gov/Archives/edgar/data/1494582/0001445866-16-001810-index.html")</f>
        <v>http://www.sec.gov/Archives/edgar/data/1494582/0001445866-16-001810-index.html</v>
      </c>
    </row>
    <row r="2584" spans="1:6" x14ac:dyDescent="0.2">
      <c r="A2584" t="s">
        <v>2340</v>
      </c>
      <c r="B2584" s="1">
        <v>1495231</v>
      </c>
      <c r="C2584" s="1">
        <v>7310</v>
      </c>
      <c r="D2584" s="2">
        <v>42459</v>
      </c>
      <c r="E2584" s="1" t="s">
        <v>18</v>
      </c>
      <c r="F2584" t="str">
        <f>HYPERLINK("http://www.sec.gov/Archives/edgar/data/1495231/0001495231-16-000076-index.html")</f>
        <v>http://www.sec.gov/Archives/edgar/data/1495231/0001495231-16-000076-index.html</v>
      </c>
    </row>
    <row r="2585" spans="1:6" x14ac:dyDescent="0.2">
      <c r="A2585" t="s">
        <v>2341</v>
      </c>
      <c r="B2585" s="1">
        <v>1496443</v>
      </c>
      <c r="C2585" s="1">
        <v>7389</v>
      </c>
      <c r="D2585" s="2">
        <v>42459</v>
      </c>
      <c r="E2585" s="1" t="s">
        <v>18</v>
      </c>
      <c r="F2585" t="str">
        <f>HYPERLINK("http://www.sec.gov/Archives/edgar/data/1496443/0001019687-16-005668-index.html")</f>
        <v>http://www.sec.gov/Archives/edgar/data/1496443/0001019687-16-005668-index.html</v>
      </c>
    </row>
    <row r="2586" spans="1:6" x14ac:dyDescent="0.2">
      <c r="A2586" t="s">
        <v>2342</v>
      </c>
      <c r="B2586" s="1">
        <v>1498547</v>
      </c>
      <c r="C2586" s="1">
        <v>6798</v>
      </c>
      <c r="D2586" s="2">
        <v>42459</v>
      </c>
      <c r="E2586" s="1" t="s">
        <v>18</v>
      </c>
      <c r="F2586" t="str">
        <f>HYPERLINK("http://www.sec.gov/Archives/edgar/data/1498547/0001498547-16-000022-index.html")</f>
        <v>http://www.sec.gov/Archives/edgar/data/1498547/0001498547-16-000022-index.html</v>
      </c>
    </row>
    <row r="2587" spans="1:6" x14ac:dyDescent="0.2">
      <c r="A2587" t="s">
        <v>2343</v>
      </c>
      <c r="B2587" s="1">
        <v>1499573</v>
      </c>
      <c r="C2587" s="1">
        <v>6770</v>
      </c>
      <c r="D2587" s="2">
        <v>42459</v>
      </c>
      <c r="E2587" s="1" t="s">
        <v>18</v>
      </c>
      <c r="F2587" t="str">
        <f>HYPERLINK("http://www.sec.gov/Archives/edgar/data/1499573/0001499573-16-000014-index.html")</f>
        <v>http://www.sec.gov/Archives/edgar/data/1499573/0001499573-16-000014-index.html</v>
      </c>
    </row>
    <row r="2588" spans="1:6" x14ac:dyDescent="0.2">
      <c r="A2588" t="s">
        <v>1190</v>
      </c>
      <c r="B2588" s="1">
        <v>1499961</v>
      </c>
      <c r="C2588" s="1">
        <v>7374</v>
      </c>
      <c r="D2588" s="2">
        <v>42459</v>
      </c>
      <c r="E2588" s="1" t="s">
        <v>18</v>
      </c>
      <c r="F2588" t="str">
        <f>HYPERLINK("http://www.sec.gov/Archives/edgar/data/1499961/0001144204-16-091542-index.html")</f>
        <v>http://www.sec.gov/Archives/edgar/data/1499961/0001144204-16-091542-index.html</v>
      </c>
    </row>
    <row r="2589" spans="1:6" x14ac:dyDescent="0.2">
      <c r="A2589" t="s">
        <v>2344</v>
      </c>
      <c r="B2589" s="1">
        <v>1500836</v>
      </c>
      <c r="C2589" s="1">
        <v>6036</v>
      </c>
      <c r="D2589" s="2">
        <v>42459</v>
      </c>
      <c r="E2589" s="1" t="s">
        <v>18</v>
      </c>
      <c r="F2589" t="str">
        <f>HYPERLINK("http://www.sec.gov/Archives/edgar/data/1500836/0001437749-16-028691-index.html")</f>
        <v>http://www.sec.gov/Archives/edgar/data/1500836/0001437749-16-028691-index.html</v>
      </c>
    </row>
    <row r="2590" spans="1:6" x14ac:dyDescent="0.2">
      <c r="A2590" t="s">
        <v>2345</v>
      </c>
      <c r="B2590" s="1">
        <v>1505155</v>
      </c>
      <c r="C2590" s="1">
        <v>7372</v>
      </c>
      <c r="D2590" s="2">
        <v>42459</v>
      </c>
      <c r="E2590" s="1" t="s">
        <v>18</v>
      </c>
      <c r="F2590" t="str">
        <f>HYPERLINK("http://www.sec.gov/Archives/edgar/data/1505155/0001628280-16-013941-index.html")</f>
        <v>http://www.sec.gov/Archives/edgar/data/1505155/0001628280-16-013941-index.html</v>
      </c>
    </row>
    <row r="2591" spans="1:6" x14ac:dyDescent="0.2">
      <c r="A2591" t="s">
        <v>2346</v>
      </c>
      <c r="B2591" s="1">
        <v>1505497</v>
      </c>
      <c r="C2591" s="1">
        <v>8090</v>
      </c>
      <c r="D2591" s="2">
        <v>42459</v>
      </c>
      <c r="E2591" s="1" t="s">
        <v>18</v>
      </c>
      <c r="F2591" t="str">
        <f>HYPERLINK("http://www.sec.gov/Archives/edgar/data/1505497/0001144204-16-091575-index.html")</f>
        <v>http://www.sec.gov/Archives/edgar/data/1505497/0001144204-16-091575-index.html</v>
      </c>
    </row>
    <row r="2592" spans="1:6" x14ac:dyDescent="0.2">
      <c r="A2592" t="s">
        <v>2347</v>
      </c>
      <c r="B2592" s="1">
        <v>1505892</v>
      </c>
      <c r="C2592" s="1">
        <v>7812</v>
      </c>
      <c r="D2592" s="2">
        <v>42459</v>
      </c>
      <c r="E2592" s="1" t="s">
        <v>18</v>
      </c>
      <c r="F2592" t="str">
        <f>HYPERLINK("http://www.sec.gov/Archives/edgar/data/1505892/0001144204-16-091404-index.html")</f>
        <v>http://www.sec.gov/Archives/edgar/data/1505892/0001144204-16-091404-index.html</v>
      </c>
    </row>
    <row r="2593" spans="1:6" x14ac:dyDescent="0.2">
      <c r="A2593" t="s">
        <v>2348</v>
      </c>
      <c r="B2593" s="1">
        <v>1506270</v>
      </c>
      <c r="C2593" s="1">
        <v>7389</v>
      </c>
      <c r="D2593" s="2">
        <v>42459</v>
      </c>
      <c r="E2593" s="1" t="s">
        <v>18</v>
      </c>
      <c r="F2593" t="str">
        <f>HYPERLINK("http://www.sec.gov/Archives/edgar/data/1506270/0001493152-16-008424-index.html")</f>
        <v>http://www.sec.gov/Archives/edgar/data/1506270/0001493152-16-008424-index.html</v>
      </c>
    </row>
    <row r="2594" spans="1:6" x14ac:dyDescent="0.2">
      <c r="A2594" t="s">
        <v>2349</v>
      </c>
      <c r="B2594" s="1">
        <v>1506439</v>
      </c>
      <c r="C2594" s="1">
        <v>7331</v>
      </c>
      <c r="D2594" s="2">
        <v>42459</v>
      </c>
      <c r="E2594" s="1" t="s">
        <v>18</v>
      </c>
      <c r="F2594" t="str">
        <f>HYPERLINK("http://www.sec.gov/Archives/edgar/data/1506439/0001493152-16-008425-index.html")</f>
        <v>http://www.sec.gov/Archives/edgar/data/1506439/0001493152-16-008425-index.html</v>
      </c>
    </row>
    <row r="2595" spans="1:6" x14ac:dyDescent="0.2">
      <c r="A2595" t="s">
        <v>2350</v>
      </c>
      <c r="B2595" s="1">
        <v>1506983</v>
      </c>
      <c r="C2595" s="1">
        <v>3841</v>
      </c>
      <c r="D2595" s="2">
        <v>42459</v>
      </c>
      <c r="E2595" s="1" t="s">
        <v>18</v>
      </c>
      <c r="F2595" t="str">
        <f>HYPERLINK("http://www.sec.gov/Archives/edgar/data/1506983/0001178913-16-004924-index.html")</f>
        <v>http://www.sec.gov/Archives/edgar/data/1506983/0001178913-16-004924-index.html</v>
      </c>
    </row>
    <row r="2596" spans="1:6" x14ac:dyDescent="0.2">
      <c r="A2596" t="s">
        <v>2351</v>
      </c>
      <c r="B2596" s="1">
        <v>1507605</v>
      </c>
      <c r="C2596" s="1">
        <v>6794</v>
      </c>
      <c r="D2596" s="2">
        <v>42459</v>
      </c>
      <c r="E2596" s="1" t="s">
        <v>18</v>
      </c>
      <c r="F2596" t="str">
        <f>HYPERLINK("http://www.sec.gov/Archives/edgar/data/1507605/0001104659-16-108696-index.html")</f>
        <v>http://www.sec.gov/Archives/edgar/data/1507605/0001104659-16-108696-index.html</v>
      </c>
    </row>
    <row r="2597" spans="1:6" x14ac:dyDescent="0.2">
      <c r="A2597" t="s">
        <v>2352</v>
      </c>
      <c r="B2597" s="1">
        <v>1507957</v>
      </c>
      <c r="C2597" s="1">
        <v>3620</v>
      </c>
      <c r="D2597" s="2">
        <v>42459</v>
      </c>
      <c r="E2597" s="1" t="s">
        <v>18</v>
      </c>
      <c r="F2597" t="str">
        <f>HYPERLINK("http://www.sec.gov/Archives/edgar/data/1507957/0001144204-16-091533-index.html")</f>
        <v>http://www.sec.gov/Archives/edgar/data/1507957/0001144204-16-091533-index.html</v>
      </c>
    </row>
    <row r="2598" spans="1:6" x14ac:dyDescent="0.2">
      <c r="A2598" t="s">
        <v>2353</v>
      </c>
      <c r="B2598" s="1">
        <v>1510079</v>
      </c>
      <c r="C2598" s="1">
        <v>6189</v>
      </c>
      <c r="D2598" s="2">
        <v>42459</v>
      </c>
      <c r="E2598" s="1" t="s">
        <v>18</v>
      </c>
      <c r="F2598" t="str">
        <f>HYPERLINK("http://www.sec.gov/Archives/edgar/data/1510079/0001193125-16-523812-index.html")</f>
        <v>http://www.sec.gov/Archives/edgar/data/1510079/0001193125-16-523812-index.html</v>
      </c>
    </row>
    <row r="2599" spans="1:6" x14ac:dyDescent="0.2">
      <c r="A2599" t="s">
        <v>2354</v>
      </c>
      <c r="B2599" s="1">
        <v>1510872</v>
      </c>
      <c r="C2599" s="1">
        <v>6189</v>
      </c>
      <c r="D2599" s="2">
        <v>42459</v>
      </c>
      <c r="E2599" s="1" t="s">
        <v>18</v>
      </c>
      <c r="F2599" t="str">
        <f>HYPERLINK("http://www.sec.gov/Archives/edgar/data/1510872/0001193125-16-523266-index.html")</f>
        <v>http://www.sec.gov/Archives/edgar/data/1510872/0001193125-16-523266-index.html</v>
      </c>
    </row>
    <row r="2600" spans="1:6" x14ac:dyDescent="0.2">
      <c r="A2600" t="s">
        <v>2355</v>
      </c>
      <c r="B2600" s="1">
        <v>1510873</v>
      </c>
      <c r="C2600" s="1">
        <v>6189</v>
      </c>
      <c r="D2600" s="2">
        <v>42459</v>
      </c>
      <c r="E2600" s="1" t="s">
        <v>18</v>
      </c>
      <c r="F2600" t="str">
        <f>HYPERLINK("http://www.sec.gov/Archives/edgar/data/1510873/0001193125-16-523285-index.html")</f>
        <v>http://www.sec.gov/Archives/edgar/data/1510873/0001193125-16-523285-index.html</v>
      </c>
    </row>
    <row r="2601" spans="1:6" x14ac:dyDescent="0.2">
      <c r="A2601" t="s">
        <v>2356</v>
      </c>
      <c r="B2601" s="1">
        <v>1510874</v>
      </c>
      <c r="C2601" s="1">
        <v>6189</v>
      </c>
      <c r="D2601" s="2">
        <v>42459</v>
      </c>
      <c r="E2601" s="1" t="s">
        <v>18</v>
      </c>
      <c r="F2601" t="str">
        <f>HYPERLINK("http://www.sec.gov/Archives/edgar/data/1510874/0001193125-16-523291-index.html")</f>
        <v>http://www.sec.gov/Archives/edgar/data/1510874/0001193125-16-523291-index.html</v>
      </c>
    </row>
    <row r="2602" spans="1:6" x14ac:dyDescent="0.2">
      <c r="A2602" t="s">
        <v>2357</v>
      </c>
      <c r="B2602" s="1">
        <v>1511071</v>
      </c>
      <c r="C2602" s="1">
        <v>6035</v>
      </c>
      <c r="D2602" s="2">
        <v>42459</v>
      </c>
      <c r="E2602" s="1" t="s">
        <v>18</v>
      </c>
      <c r="F2602" t="str">
        <f>HYPERLINK("http://www.sec.gov/Archives/edgar/data/1511071/0001144204-16-091365-index.html")</f>
        <v>http://www.sec.gov/Archives/edgar/data/1511071/0001144204-16-091365-index.html</v>
      </c>
    </row>
    <row r="2603" spans="1:6" x14ac:dyDescent="0.2">
      <c r="A2603" t="s">
        <v>2358</v>
      </c>
      <c r="B2603" s="1">
        <v>1512927</v>
      </c>
      <c r="C2603" s="1">
        <v>6311</v>
      </c>
      <c r="D2603" s="2">
        <v>42459</v>
      </c>
      <c r="E2603" s="1" t="s">
        <v>18</v>
      </c>
      <c r="F2603" t="str">
        <f>HYPERLINK("http://www.sec.gov/Archives/edgar/data/1512927/0001144204-16-091204-index.html")</f>
        <v>http://www.sec.gov/Archives/edgar/data/1512927/0001144204-16-091204-index.html</v>
      </c>
    </row>
    <row r="2604" spans="1:6" x14ac:dyDescent="0.2">
      <c r="A2604" t="s">
        <v>2359</v>
      </c>
      <c r="B2604" s="1">
        <v>1514226</v>
      </c>
      <c r="C2604" s="1">
        <v>4581</v>
      </c>
      <c r="D2604" s="2">
        <v>42459</v>
      </c>
      <c r="E2604" s="1" t="s">
        <v>18</v>
      </c>
      <c r="F2604" t="str">
        <f>HYPERLINK("http://www.sec.gov/Archives/edgar/data/1514226/0001514226-16-000057-index.html")</f>
        <v>http://www.sec.gov/Archives/edgar/data/1514226/0001514226-16-000057-index.html</v>
      </c>
    </row>
    <row r="2605" spans="1:6" x14ac:dyDescent="0.2">
      <c r="A2605" t="s">
        <v>2360</v>
      </c>
      <c r="B2605" s="1">
        <v>1514514</v>
      </c>
      <c r="C2605" s="1">
        <v>2024</v>
      </c>
      <c r="D2605" s="2">
        <v>42459</v>
      </c>
      <c r="E2605" s="1" t="s">
        <v>18</v>
      </c>
      <c r="F2605" t="str">
        <f>HYPERLINK("http://www.sec.gov/Archives/edgar/data/1514514/0001415889-16-005351-index.html")</f>
        <v>http://www.sec.gov/Archives/edgar/data/1514514/0001415889-16-005351-index.html</v>
      </c>
    </row>
    <row r="2606" spans="1:6" x14ac:dyDescent="0.2">
      <c r="A2606" t="s">
        <v>2361</v>
      </c>
      <c r="B2606" s="1">
        <v>1515319</v>
      </c>
      <c r="C2606" s="1">
        <v>5990</v>
      </c>
      <c r="D2606" s="2">
        <v>42459</v>
      </c>
      <c r="E2606" s="1" t="s">
        <v>18</v>
      </c>
      <c r="F2606" t="str">
        <f>HYPERLINK("http://www.sec.gov/Archives/edgar/data/1515319/0001213900-16-012048-index.html")</f>
        <v>http://www.sec.gov/Archives/edgar/data/1515319/0001213900-16-012048-index.html</v>
      </c>
    </row>
    <row r="2607" spans="1:6" x14ac:dyDescent="0.2">
      <c r="A2607" t="s">
        <v>2362</v>
      </c>
      <c r="B2607" s="1">
        <v>1515740</v>
      </c>
      <c r="C2607" s="1">
        <v>2836</v>
      </c>
      <c r="D2607" s="2">
        <v>42459</v>
      </c>
      <c r="E2607" s="1" t="s">
        <v>18</v>
      </c>
      <c r="F2607" t="str">
        <f>HYPERLINK("http://www.sec.gov/Archives/edgar/data/1515740/0001477932-16-009264-index.html")</f>
        <v>http://www.sec.gov/Archives/edgar/data/1515740/0001477932-16-009264-index.html</v>
      </c>
    </row>
    <row r="2608" spans="1:6" x14ac:dyDescent="0.2">
      <c r="A2608" t="s">
        <v>2363</v>
      </c>
      <c r="B2608" s="1">
        <v>1515816</v>
      </c>
      <c r="C2608" s="1">
        <v>6798</v>
      </c>
      <c r="D2608" s="2">
        <v>42459</v>
      </c>
      <c r="E2608" s="1" t="s">
        <v>18</v>
      </c>
      <c r="F2608" t="str">
        <f>HYPERLINK("http://www.sec.gov/Archives/edgar/data/1515816/0001171520-16-000898-index.html")</f>
        <v>http://www.sec.gov/Archives/edgar/data/1515816/0001171520-16-000898-index.html</v>
      </c>
    </row>
    <row r="2609" spans="1:6" x14ac:dyDescent="0.2">
      <c r="A2609" t="s">
        <v>2364</v>
      </c>
      <c r="B2609" s="1">
        <v>1519117</v>
      </c>
      <c r="C2609" s="1">
        <v>7359</v>
      </c>
      <c r="D2609" s="2">
        <v>42459</v>
      </c>
      <c r="E2609" s="1" t="s">
        <v>18</v>
      </c>
      <c r="F2609" t="str">
        <f>HYPERLINK("http://www.sec.gov/Archives/edgar/data/1519117/0001144204-16-091093-index.html")</f>
        <v>http://www.sec.gov/Archives/edgar/data/1519117/0001144204-16-091093-index.html</v>
      </c>
    </row>
    <row r="2610" spans="1:6" x14ac:dyDescent="0.2">
      <c r="A2610" t="s">
        <v>2365</v>
      </c>
      <c r="B2610" s="1">
        <v>1520108</v>
      </c>
      <c r="C2610" s="1">
        <v>3944</v>
      </c>
      <c r="D2610" s="2">
        <v>42459</v>
      </c>
      <c r="E2610" s="1" t="s">
        <v>18</v>
      </c>
      <c r="F2610" t="str">
        <f>HYPERLINK("http://www.sec.gov/Archives/edgar/data/1520108/0001493152-16-008408-index.html")</f>
        <v>http://www.sec.gov/Archives/edgar/data/1520108/0001493152-16-008408-index.html</v>
      </c>
    </row>
    <row r="2611" spans="1:6" x14ac:dyDescent="0.2">
      <c r="A2611" t="s">
        <v>2366</v>
      </c>
      <c r="B2611" s="1">
        <v>1521945</v>
      </c>
      <c r="C2611" s="1">
        <v>3944</v>
      </c>
      <c r="D2611" s="2">
        <v>42459</v>
      </c>
      <c r="E2611" s="1" t="s">
        <v>18</v>
      </c>
      <c r="F2611" t="str">
        <f>HYPERLINK("http://www.sec.gov/Archives/edgar/data/1521945/0000897101-16-002109-index.html")</f>
        <v>http://www.sec.gov/Archives/edgar/data/1521945/0000897101-16-002109-index.html</v>
      </c>
    </row>
    <row r="2612" spans="1:6" x14ac:dyDescent="0.2">
      <c r="A2612" t="s">
        <v>2367</v>
      </c>
      <c r="B2612" s="1">
        <v>1522215</v>
      </c>
      <c r="C2612" s="1">
        <v>7363</v>
      </c>
      <c r="D2612" s="2">
        <v>42459</v>
      </c>
      <c r="E2612" s="1" t="s">
        <v>18</v>
      </c>
      <c r="F2612" t="str">
        <f>HYPERLINK("http://www.sec.gov/Archives/edgar/data/1522215/0001144204-16-091363-index.html")</f>
        <v>http://www.sec.gov/Archives/edgar/data/1522215/0001144204-16-091363-index.html</v>
      </c>
    </row>
    <row r="2613" spans="1:6" x14ac:dyDescent="0.2">
      <c r="A2613" t="s">
        <v>2368</v>
      </c>
      <c r="B2613" s="1">
        <v>1522602</v>
      </c>
      <c r="C2613" s="1">
        <v>2834</v>
      </c>
      <c r="D2613" s="2">
        <v>42459</v>
      </c>
      <c r="E2613" s="1" t="s">
        <v>18</v>
      </c>
      <c r="F2613" t="str">
        <f>HYPERLINK("http://www.sec.gov/Archives/edgar/data/1522602/0001213900-16-011989-index.html")</f>
        <v>http://www.sec.gov/Archives/edgar/data/1522602/0001213900-16-011989-index.html</v>
      </c>
    </row>
    <row r="2614" spans="1:6" x14ac:dyDescent="0.2">
      <c r="A2614" t="s">
        <v>2369</v>
      </c>
      <c r="B2614" s="1">
        <v>1522616</v>
      </c>
      <c r="C2614" s="1">
        <v>6189</v>
      </c>
      <c r="D2614" s="2">
        <v>42459</v>
      </c>
      <c r="E2614" s="1" t="s">
        <v>18</v>
      </c>
      <c r="F2614" t="str">
        <f>HYPERLINK("http://www.sec.gov/Archives/edgar/data/1522616/0001193125-16-522930-index.html")</f>
        <v>http://www.sec.gov/Archives/edgar/data/1522616/0001193125-16-522930-index.html</v>
      </c>
    </row>
    <row r="2615" spans="1:6" x14ac:dyDescent="0.2">
      <c r="A2615" t="s">
        <v>2370</v>
      </c>
      <c r="B2615" s="1">
        <v>1523854</v>
      </c>
      <c r="C2615" s="1">
        <v>6022</v>
      </c>
      <c r="D2615" s="2">
        <v>42459</v>
      </c>
      <c r="E2615" s="1" t="s">
        <v>18</v>
      </c>
      <c r="F2615" t="str">
        <f>HYPERLINK("http://www.sec.gov/Archives/edgar/data/1523854/0001571049-16-013491-index.html")</f>
        <v>http://www.sec.gov/Archives/edgar/data/1523854/0001571049-16-013491-index.html</v>
      </c>
    </row>
    <row r="2616" spans="1:6" x14ac:dyDescent="0.2">
      <c r="A2616" t="s">
        <v>2371</v>
      </c>
      <c r="B2616" s="1">
        <v>1524025</v>
      </c>
      <c r="C2616" s="1">
        <v>5600</v>
      </c>
      <c r="D2616" s="2">
        <v>42459</v>
      </c>
      <c r="E2616" s="1" t="s">
        <v>18</v>
      </c>
      <c r="F2616" t="str">
        <f>HYPERLINK("http://www.sec.gov/Archives/edgar/data/1524025/0001628280-16-013945-index.html")</f>
        <v>http://www.sec.gov/Archives/edgar/data/1524025/0001628280-16-013945-index.html</v>
      </c>
    </row>
    <row r="2617" spans="1:6" x14ac:dyDescent="0.2">
      <c r="A2617" t="s">
        <v>2372</v>
      </c>
      <c r="B2617" s="1">
        <v>1527102</v>
      </c>
      <c r="C2617" s="1">
        <v>7389</v>
      </c>
      <c r="D2617" s="2">
        <v>42459</v>
      </c>
      <c r="E2617" s="1" t="s">
        <v>18</v>
      </c>
      <c r="F2617" t="str">
        <f>HYPERLINK("http://www.sec.gov/Archives/edgar/data/1527102/0001079974-16-001079-index.html")</f>
        <v>http://www.sec.gov/Archives/edgar/data/1527102/0001079974-16-001079-index.html</v>
      </c>
    </row>
    <row r="2618" spans="1:6" x14ac:dyDescent="0.2">
      <c r="A2618" t="s">
        <v>2373</v>
      </c>
      <c r="B2618" s="1">
        <v>1527599</v>
      </c>
      <c r="C2618" s="1">
        <v>2834</v>
      </c>
      <c r="D2618" s="2">
        <v>42459</v>
      </c>
      <c r="E2618" s="1" t="s">
        <v>18</v>
      </c>
      <c r="F2618" t="str">
        <f>HYPERLINK("http://www.sec.gov/Archives/edgar/data/1527599/0001558370-16-004457-index.html")</f>
        <v>http://www.sec.gov/Archives/edgar/data/1527599/0001558370-16-004457-index.html</v>
      </c>
    </row>
    <row r="2619" spans="1:6" x14ac:dyDescent="0.2">
      <c r="A2619" t="s">
        <v>2374</v>
      </c>
      <c r="B2619" s="1">
        <v>1528061</v>
      </c>
      <c r="C2619" s="1">
        <v>6099</v>
      </c>
      <c r="D2619" s="2">
        <v>42459</v>
      </c>
      <c r="E2619" s="1" t="s">
        <v>18</v>
      </c>
      <c r="F2619" t="str">
        <f>HYPERLINK("http://www.sec.gov/Archives/edgar/data/1528061/0001104659-16-108753-index.html")</f>
        <v>http://www.sec.gov/Archives/edgar/data/1528061/0001104659-16-108753-index.html</v>
      </c>
    </row>
    <row r="2620" spans="1:6" x14ac:dyDescent="0.2">
      <c r="A2620" t="s">
        <v>2375</v>
      </c>
      <c r="B2620" s="1">
        <v>1528103</v>
      </c>
      <c r="C2620" s="1">
        <v>4931</v>
      </c>
      <c r="D2620" s="2">
        <v>42459</v>
      </c>
      <c r="E2620" s="1" t="s">
        <v>18</v>
      </c>
      <c r="F2620" t="str">
        <f>HYPERLINK("http://www.sec.gov/Archives/edgar/data/1528103/0001528103-16-000087-index.html")</f>
        <v>http://www.sec.gov/Archives/edgar/data/1528103/0001528103-16-000087-index.html</v>
      </c>
    </row>
    <row r="2621" spans="1:6" x14ac:dyDescent="0.2">
      <c r="A2621" t="s">
        <v>2376</v>
      </c>
      <c r="B2621" s="1">
        <v>1528279</v>
      </c>
      <c r="C2621" s="1">
        <v>6189</v>
      </c>
      <c r="D2621" s="2">
        <v>42459</v>
      </c>
      <c r="E2621" s="1" t="s">
        <v>18</v>
      </c>
      <c r="F2621" t="str">
        <f>HYPERLINK("http://www.sec.gov/Archives/edgar/data/1528279/0001193125-16-523845-index.html")</f>
        <v>http://www.sec.gov/Archives/edgar/data/1528279/0001193125-16-523845-index.html</v>
      </c>
    </row>
    <row r="2622" spans="1:6" x14ac:dyDescent="0.2">
      <c r="A2622" t="s">
        <v>2377</v>
      </c>
      <c r="B2622" s="1">
        <v>1528503</v>
      </c>
      <c r="C2622" s="1">
        <v>6189</v>
      </c>
      <c r="D2622" s="2">
        <v>42459</v>
      </c>
      <c r="E2622" s="1" t="s">
        <v>18</v>
      </c>
      <c r="F2622" t="str">
        <f>HYPERLINK("http://www.sec.gov/Archives/edgar/data/1528503/0001056404-16-003833-index.html")</f>
        <v>http://www.sec.gov/Archives/edgar/data/1528503/0001056404-16-003833-index.html</v>
      </c>
    </row>
    <row r="2623" spans="1:6" x14ac:dyDescent="0.2">
      <c r="A2623" t="s">
        <v>2378</v>
      </c>
      <c r="B2623" s="1">
        <v>1528849</v>
      </c>
      <c r="C2623" s="1">
        <v>5712</v>
      </c>
      <c r="D2623" s="2">
        <v>42459</v>
      </c>
      <c r="E2623" s="1" t="s">
        <v>18</v>
      </c>
      <c r="F2623" t="str">
        <f>HYPERLINK("http://www.sec.gov/Archives/edgar/data/1528849/0001564590-16-015660-index.html")</f>
        <v>http://www.sec.gov/Archives/edgar/data/1528849/0001564590-16-015660-index.html</v>
      </c>
    </row>
    <row r="2624" spans="1:6" x14ac:dyDescent="0.2">
      <c r="A2624" t="s">
        <v>2379</v>
      </c>
      <c r="B2624" s="1">
        <v>1529113</v>
      </c>
      <c r="C2624" s="1">
        <v>7371</v>
      </c>
      <c r="D2624" s="2">
        <v>42459</v>
      </c>
      <c r="E2624" s="1" t="s">
        <v>18</v>
      </c>
      <c r="F2624" t="str">
        <f>HYPERLINK("http://www.sec.gov/Archives/edgar/data/1529113/0001213900-16-012053-index.html")</f>
        <v>http://www.sec.gov/Archives/edgar/data/1529113/0001213900-16-012053-index.html</v>
      </c>
    </row>
    <row r="2625" spans="1:6" x14ac:dyDescent="0.2">
      <c r="A2625" t="s">
        <v>2380</v>
      </c>
      <c r="B2625" s="1">
        <v>1530244</v>
      </c>
      <c r="C2625" s="1">
        <v>6770</v>
      </c>
      <c r="D2625" s="2">
        <v>42459</v>
      </c>
      <c r="E2625" s="1" t="s">
        <v>18</v>
      </c>
      <c r="F2625" t="str">
        <f>HYPERLINK("http://www.sec.gov/Archives/edgar/data/1530244/0001079974-16-001083-index.html")</f>
        <v>http://www.sec.gov/Archives/edgar/data/1530244/0001079974-16-001083-index.html</v>
      </c>
    </row>
    <row r="2626" spans="1:6" x14ac:dyDescent="0.2">
      <c r="A2626" t="s">
        <v>912</v>
      </c>
      <c r="B2626" s="1">
        <v>1531190</v>
      </c>
      <c r="C2626" s="1">
        <v>6189</v>
      </c>
      <c r="D2626" s="2">
        <v>42459</v>
      </c>
      <c r="E2626" s="1" t="s">
        <v>18</v>
      </c>
      <c r="F2626" t="str">
        <f>HYPERLINK("http://www.sec.gov/Archives/edgar/data/1531190/0001193125-16-522747-index.html")</f>
        <v>http://www.sec.gov/Archives/edgar/data/1531190/0001193125-16-522747-index.html</v>
      </c>
    </row>
    <row r="2627" spans="1:6" x14ac:dyDescent="0.2">
      <c r="A2627" t="s">
        <v>2381</v>
      </c>
      <c r="B2627" s="1">
        <v>1531537</v>
      </c>
      <c r="C2627" s="1">
        <v>7011</v>
      </c>
      <c r="D2627" s="2">
        <v>42459</v>
      </c>
      <c r="E2627" s="1" t="s">
        <v>18</v>
      </c>
      <c r="F2627" t="str">
        <f>HYPERLINK("http://www.sec.gov/Archives/edgar/data/1531537/0001628280-16-013923-index.html")</f>
        <v>http://www.sec.gov/Archives/edgar/data/1531537/0001628280-16-013923-index.html</v>
      </c>
    </row>
    <row r="2628" spans="1:6" x14ac:dyDescent="0.2">
      <c r="A2628" t="s">
        <v>2382</v>
      </c>
      <c r="B2628" s="1">
        <v>1532619</v>
      </c>
      <c r="C2628" s="1">
        <v>6798</v>
      </c>
      <c r="D2628" s="2">
        <v>42459</v>
      </c>
      <c r="E2628" s="1" t="s">
        <v>18</v>
      </c>
      <c r="F2628" t="str">
        <f>HYPERLINK("http://www.sec.gov/Archives/edgar/data/1532619/0001493152-16-008395-index.html")</f>
        <v>http://www.sec.gov/Archives/edgar/data/1532619/0001493152-16-008395-index.html</v>
      </c>
    </row>
    <row r="2629" spans="1:6" x14ac:dyDescent="0.2">
      <c r="A2629" t="s">
        <v>2383</v>
      </c>
      <c r="B2629" s="1">
        <v>1533040</v>
      </c>
      <c r="C2629" s="1">
        <v>2834</v>
      </c>
      <c r="D2629" s="2">
        <v>42459</v>
      </c>
      <c r="E2629" s="1" t="s">
        <v>18</v>
      </c>
      <c r="F2629" t="str">
        <f>HYPERLINK("http://www.sec.gov/Archives/edgar/data/1533040/0001193125-16-523721-index.html")</f>
        <v>http://www.sec.gov/Archives/edgar/data/1533040/0001193125-16-523721-index.html</v>
      </c>
    </row>
    <row r="2630" spans="1:6" x14ac:dyDescent="0.2">
      <c r="A2630" t="s">
        <v>2384</v>
      </c>
      <c r="B2630" s="1">
        <v>1533924</v>
      </c>
      <c r="C2630" s="1">
        <v>1311</v>
      </c>
      <c r="D2630" s="2">
        <v>42459</v>
      </c>
      <c r="E2630" s="1" t="s">
        <v>18</v>
      </c>
      <c r="F2630" t="str">
        <f>HYPERLINK("http://www.sec.gov/Archives/edgar/data/1533924/0001047469-16-011743-index.html")</f>
        <v>http://www.sec.gov/Archives/edgar/data/1533924/0001047469-16-011743-index.html</v>
      </c>
    </row>
    <row r="2631" spans="1:6" x14ac:dyDescent="0.2">
      <c r="A2631" t="s">
        <v>2385</v>
      </c>
      <c r="B2631" s="1">
        <v>1535079</v>
      </c>
      <c r="C2631" s="1">
        <v>7372</v>
      </c>
      <c r="D2631" s="2">
        <v>42459</v>
      </c>
      <c r="E2631" s="1" t="s">
        <v>18</v>
      </c>
      <c r="F2631" t="str">
        <f>HYPERLINK("http://www.sec.gov/Archives/edgar/data/1535079/0001002014-16-000632-index.html")</f>
        <v>http://www.sec.gov/Archives/edgar/data/1535079/0001002014-16-000632-index.html</v>
      </c>
    </row>
    <row r="2632" spans="1:6" x14ac:dyDescent="0.2">
      <c r="A2632" t="s">
        <v>2386</v>
      </c>
      <c r="B2632" s="1">
        <v>1536226</v>
      </c>
      <c r="C2632" s="1">
        <v>6189</v>
      </c>
      <c r="D2632" s="2">
        <v>42459</v>
      </c>
      <c r="E2632" s="1" t="s">
        <v>18</v>
      </c>
      <c r="F2632" t="str">
        <f>HYPERLINK("http://www.sec.gov/Archives/edgar/data/1536226/0001020242-16-000354-index.html")</f>
        <v>http://www.sec.gov/Archives/edgar/data/1536226/0001020242-16-000354-index.html</v>
      </c>
    </row>
    <row r="2633" spans="1:6" x14ac:dyDescent="0.2">
      <c r="A2633" t="s">
        <v>653</v>
      </c>
      <c r="B2633" s="1">
        <v>1536694</v>
      </c>
      <c r="C2633" s="1">
        <v>6189</v>
      </c>
      <c r="D2633" s="2">
        <v>42459</v>
      </c>
      <c r="E2633" s="1" t="s">
        <v>18</v>
      </c>
      <c r="F2633" t="str">
        <f>HYPERLINK("http://www.sec.gov/Archives/edgar/data/1536694/0001193125-16-523871-index.html")</f>
        <v>http://www.sec.gov/Archives/edgar/data/1536694/0001193125-16-523871-index.html</v>
      </c>
    </row>
    <row r="2634" spans="1:6" x14ac:dyDescent="0.2">
      <c r="A2634" t="s">
        <v>2387</v>
      </c>
      <c r="B2634" s="1">
        <v>1536720</v>
      </c>
      <c r="C2634" s="1">
        <v>6189</v>
      </c>
      <c r="D2634" s="2">
        <v>42459</v>
      </c>
      <c r="E2634" s="1" t="s">
        <v>18</v>
      </c>
      <c r="F2634" t="str">
        <f>HYPERLINK("http://www.sec.gov/Archives/edgar/data/1536720/0001193125-16-523301-index.html")</f>
        <v>http://www.sec.gov/Archives/edgar/data/1536720/0001193125-16-523301-index.html</v>
      </c>
    </row>
    <row r="2635" spans="1:6" x14ac:dyDescent="0.2">
      <c r="A2635" t="s">
        <v>2388</v>
      </c>
      <c r="B2635" s="1">
        <v>1537435</v>
      </c>
      <c r="C2635" s="1">
        <v>3585</v>
      </c>
      <c r="D2635" s="2">
        <v>42459</v>
      </c>
      <c r="E2635" s="1" t="s">
        <v>18</v>
      </c>
      <c r="F2635" t="str">
        <f>HYPERLINK("http://www.sec.gov/Archives/edgar/data/1537435/0001537435-16-000097-index.html")</f>
        <v>http://www.sec.gov/Archives/edgar/data/1537435/0001537435-16-000097-index.html</v>
      </c>
    </row>
    <row r="2636" spans="1:6" x14ac:dyDescent="0.2">
      <c r="A2636" t="s">
        <v>2389</v>
      </c>
      <c r="B2636" s="1">
        <v>1537917</v>
      </c>
      <c r="C2636" s="1">
        <v>2834</v>
      </c>
      <c r="D2636" s="2">
        <v>42459</v>
      </c>
      <c r="E2636" s="1" t="s">
        <v>18</v>
      </c>
      <c r="F2636" t="str">
        <f>HYPERLINK("http://www.sec.gov/Archives/edgar/data/1537917/0001161697-16-000766-index.html")</f>
        <v>http://www.sec.gov/Archives/edgar/data/1537917/0001161697-16-000766-index.html</v>
      </c>
    </row>
    <row r="2637" spans="1:6" x14ac:dyDescent="0.2">
      <c r="A2637" t="s">
        <v>888</v>
      </c>
      <c r="B2637" s="1">
        <v>1538184</v>
      </c>
      <c r="C2637" s="1">
        <v>6189</v>
      </c>
      <c r="D2637" s="2">
        <v>42459</v>
      </c>
      <c r="E2637" s="1" t="s">
        <v>18</v>
      </c>
      <c r="F2637" t="str">
        <f>HYPERLINK("http://www.sec.gov/Archives/edgar/data/1538184/0001193125-16-522854-index.html")</f>
        <v>http://www.sec.gov/Archives/edgar/data/1538184/0001193125-16-522854-index.html</v>
      </c>
    </row>
    <row r="2638" spans="1:6" x14ac:dyDescent="0.2">
      <c r="A2638" t="s">
        <v>2390</v>
      </c>
      <c r="B2638" s="1">
        <v>1539816</v>
      </c>
      <c r="C2638" s="1">
        <v>6189</v>
      </c>
      <c r="D2638" s="2">
        <v>42459</v>
      </c>
      <c r="E2638" s="1" t="s">
        <v>18</v>
      </c>
      <c r="F2638" t="str">
        <f>HYPERLINK("http://www.sec.gov/Archives/edgar/data/1539816/0001539816-16-000010-index.html")</f>
        <v>http://www.sec.gov/Archives/edgar/data/1539816/0001539816-16-000010-index.html</v>
      </c>
    </row>
    <row r="2639" spans="1:6" x14ac:dyDescent="0.2">
      <c r="A2639" t="s">
        <v>2391</v>
      </c>
      <c r="B2639" s="1">
        <v>1540723</v>
      </c>
      <c r="C2639" s="1">
        <v>6189</v>
      </c>
      <c r="D2639" s="2">
        <v>42459</v>
      </c>
      <c r="E2639" s="1" t="s">
        <v>18</v>
      </c>
      <c r="F2639" t="str">
        <f>HYPERLINK("http://www.sec.gov/Archives/edgar/data/1540723/0001193125-16-523449-index.html")</f>
        <v>http://www.sec.gov/Archives/edgar/data/1540723/0001193125-16-523449-index.html</v>
      </c>
    </row>
    <row r="2640" spans="1:6" x14ac:dyDescent="0.2">
      <c r="A2640" t="s">
        <v>2392</v>
      </c>
      <c r="B2640" s="1">
        <v>1540960</v>
      </c>
      <c r="C2640" s="1">
        <v>6189</v>
      </c>
      <c r="D2640" s="2">
        <v>42459</v>
      </c>
      <c r="E2640" s="1" t="s">
        <v>18</v>
      </c>
      <c r="F2640" t="str">
        <f>HYPERLINK("http://www.sec.gov/Archives/edgar/data/1540960/0001193125-16-523312-index.html")</f>
        <v>http://www.sec.gov/Archives/edgar/data/1540960/0001193125-16-523312-index.html</v>
      </c>
    </row>
    <row r="2641" spans="1:6" x14ac:dyDescent="0.2">
      <c r="A2641" t="s">
        <v>2393</v>
      </c>
      <c r="B2641" s="1">
        <v>1541119</v>
      </c>
      <c r="C2641" s="1">
        <v>6035</v>
      </c>
      <c r="D2641" s="2">
        <v>42459</v>
      </c>
      <c r="E2641" s="1" t="s">
        <v>18</v>
      </c>
      <c r="F2641" t="str">
        <f>HYPERLINK("http://www.sec.gov/Archives/edgar/data/1541119/0001567619-16-002110-index.html")</f>
        <v>http://www.sec.gov/Archives/edgar/data/1541119/0001567619-16-002110-index.html</v>
      </c>
    </row>
    <row r="2642" spans="1:6" x14ac:dyDescent="0.2">
      <c r="A2642" t="s">
        <v>1309</v>
      </c>
      <c r="B2642" s="1">
        <v>1541451</v>
      </c>
      <c r="C2642" s="1">
        <v>6189</v>
      </c>
      <c r="D2642" s="2">
        <v>42459</v>
      </c>
      <c r="E2642" s="1" t="s">
        <v>18</v>
      </c>
      <c r="F2642" t="str">
        <f>HYPERLINK("http://www.sec.gov/Archives/edgar/data/1541451/0001056404-16-003835-index.html")</f>
        <v>http://www.sec.gov/Archives/edgar/data/1541451/0001056404-16-003835-index.html</v>
      </c>
    </row>
    <row r="2643" spans="1:6" x14ac:dyDescent="0.2">
      <c r="A2643" t="s">
        <v>889</v>
      </c>
      <c r="B2643" s="1">
        <v>1543913</v>
      </c>
      <c r="C2643" s="1">
        <v>6189</v>
      </c>
      <c r="D2643" s="2">
        <v>42459</v>
      </c>
      <c r="E2643" s="1" t="s">
        <v>18</v>
      </c>
      <c r="F2643" t="str">
        <f>HYPERLINK("http://www.sec.gov/Archives/edgar/data/1543913/0001193125-16-522749-index.html")</f>
        <v>http://www.sec.gov/Archives/edgar/data/1543913/0001193125-16-522749-index.html</v>
      </c>
    </row>
    <row r="2644" spans="1:6" x14ac:dyDescent="0.2">
      <c r="A2644" t="s">
        <v>2394</v>
      </c>
      <c r="B2644" s="1">
        <v>1544238</v>
      </c>
      <c r="C2644" s="1">
        <v>2834</v>
      </c>
      <c r="D2644" s="2">
        <v>42459</v>
      </c>
      <c r="E2644" s="1" t="s">
        <v>18</v>
      </c>
      <c r="F2644" t="str">
        <f>HYPERLINK("http://www.sec.gov/Archives/edgar/data/1544238/0001493152-16-008455-index.html")</f>
        <v>http://www.sec.gov/Archives/edgar/data/1544238/0001493152-16-008455-index.html</v>
      </c>
    </row>
    <row r="2645" spans="1:6" x14ac:dyDescent="0.2">
      <c r="A2645" t="s">
        <v>654</v>
      </c>
      <c r="B2645" s="1">
        <v>1545416</v>
      </c>
      <c r="C2645" s="1">
        <v>6189</v>
      </c>
      <c r="D2645" s="2">
        <v>42459</v>
      </c>
      <c r="E2645" s="1" t="s">
        <v>18</v>
      </c>
      <c r="F2645" t="str">
        <f>HYPERLINK("http://www.sec.gov/Archives/edgar/data/1545416/0001193125-16-523837-index.html")</f>
        <v>http://www.sec.gov/Archives/edgar/data/1545416/0001193125-16-523837-index.html</v>
      </c>
    </row>
    <row r="2646" spans="1:6" x14ac:dyDescent="0.2">
      <c r="A2646" t="s">
        <v>1528</v>
      </c>
      <c r="B2646" s="1">
        <v>1546296</v>
      </c>
      <c r="C2646" s="1">
        <v>7370</v>
      </c>
      <c r="D2646" s="2">
        <v>42459</v>
      </c>
      <c r="E2646" s="1" t="s">
        <v>18</v>
      </c>
      <c r="F2646" t="str">
        <f>HYPERLINK("http://www.sec.gov/Archives/edgar/data/1546296/0001214659-16-010553-index.html")</f>
        <v>http://www.sec.gov/Archives/edgar/data/1546296/0001214659-16-010553-index.html</v>
      </c>
    </row>
    <row r="2647" spans="1:6" x14ac:dyDescent="0.2">
      <c r="A2647" t="s">
        <v>2395</v>
      </c>
      <c r="B2647" s="1">
        <v>1546609</v>
      </c>
      <c r="C2647" s="1">
        <v>6798</v>
      </c>
      <c r="D2647" s="2">
        <v>42459</v>
      </c>
      <c r="E2647" s="1" t="s">
        <v>18</v>
      </c>
      <c r="F2647" t="str">
        <f>HYPERLINK("http://www.sec.gov/Archives/edgar/data/1546609/0001546609-16-000108-index.html")</f>
        <v>http://www.sec.gov/Archives/edgar/data/1546609/0001546609-16-000108-index.html</v>
      </c>
    </row>
    <row r="2648" spans="1:6" x14ac:dyDescent="0.2">
      <c r="A2648" t="s">
        <v>2396</v>
      </c>
      <c r="B2648" s="1">
        <v>1546637</v>
      </c>
      <c r="C2648" s="1">
        <v>6189</v>
      </c>
      <c r="D2648" s="2">
        <v>42459</v>
      </c>
      <c r="E2648" s="1" t="s">
        <v>18</v>
      </c>
      <c r="F2648" t="str">
        <f>HYPERLINK("http://www.sec.gov/Archives/edgar/data/1546637/0001193125-16-523104-index.html")</f>
        <v>http://www.sec.gov/Archives/edgar/data/1546637/0001193125-16-523104-index.html</v>
      </c>
    </row>
    <row r="2649" spans="1:6" x14ac:dyDescent="0.2">
      <c r="A2649" t="s">
        <v>2397</v>
      </c>
      <c r="B2649" s="1">
        <v>1548240</v>
      </c>
      <c r="C2649" s="1">
        <v>100</v>
      </c>
      <c r="D2649" s="2">
        <v>42459</v>
      </c>
      <c r="E2649" s="1" t="s">
        <v>18</v>
      </c>
      <c r="F2649" t="str">
        <f>HYPERLINK("http://www.sec.gov/Archives/edgar/data/1548240/0001213900-16-012043-index.html")</f>
        <v>http://www.sec.gov/Archives/edgar/data/1548240/0001213900-16-012043-index.html</v>
      </c>
    </row>
    <row r="2650" spans="1:6" x14ac:dyDescent="0.2">
      <c r="A2650" t="s">
        <v>891</v>
      </c>
      <c r="B2650" s="1">
        <v>1548600</v>
      </c>
      <c r="C2650" s="1">
        <v>6189</v>
      </c>
      <c r="D2650" s="2">
        <v>42459</v>
      </c>
      <c r="E2650" s="1" t="s">
        <v>18</v>
      </c>
      <c r="F2650" t="str">
        <f>HYPERLINK("http://www.sec.gov/Archives/edgar/data/1548600/0001193125-16-522819-index.html")</f>
        <v>http://www.sec.gov/Archives/edgar/data/1548600/0001193125-16-522819-index.html</v>
      </c>
    </row>
    <row r="2651" spans="1:6" x14ac:dyDescent="0.2">
      <c r="A2651" t="s">
        <v>2398</v>
      </c>
      <c r="B2651" s="1">
        <v>1550020</v>
      </c>
      <c r="C2651" s="1">
        <v>8082</v>
      </c>
      <c r="D2651" s="2">
        <v>42459</v>
      </c>
      <c r="E2651" s="1" t="s">
        <v>18</v>
      </c>
      <c r="F2651" t="str">
        <f>HYPERLINK("http://www.sec.gov/Archives/edgar/data/1550020/0001493152-16-008393-index.html")</f>
        <v>http://www.sec.gov/Archives/edgar/data/1550020/0001493152-16-008393-index.html</v>
      </c>
    </row>
    <row r="2652" spans="1:6" x14ac:dyDescent="0.2">
      <c r="A2652" t="s">
        <v>2399</v>
      </c>
      <c r="B2652" s="1">
        <v>1550453</v>
      </c>
      <c r="C2652" s="1">
        <v>6199</v>
      </c>
      <c r="D2652" s="2">
        <v>42459</v>
      </c>
      <c r="E2652" s="1" t="s">
        <v>18</v>
      </c>
      <c r="F2652" t="str">
        <f>HYPERLINK("http://www.sec.gov/Archives/edgar/data/1550453/0001564590-16-015651-index.html")</f>
        <v>http://www.sec.gov/Archives/edgar/data/1550453/0001564590-16-015651-index.html</v>
      </c>
    </row>
    <row r="2653" spans="1:6" x14ac:dyDescent="0.2">
      <c r="A2653" t="s">
        <v>655</v>
      </c>
      <c r="B2653" s="1">
        <v>1551097</v>
      </c>
      <c r="C2653" s="1">
        <v>6189</v>
      </c>
      <c r="D2653" s="2">
        <v>42459</v>
      </c>
      <c r="E2653" s="1" t="s">
        <v>18</v>
      </c>
      <c r="F2653" t="str">
        <f>HYPERLINK("http://www.sec.gov/Archives/edgar/data/1551097/0001193125-16-523838-index.html")</f>
        <v>http://www.sec.gov/Archives/edgar/data/1551097/0001193125-16-523838-index.html</v>
      </c>
    </row>
    <row r="2654" spans="1:6" x14ac:dyDescent="0.2">
      <c r="A2654" t="s">
        <v>2400</v>
      </c>
      <c r="B2654" s="1">
        <v>1551271</v>
      </c>
      <c r="C2654" s="1">
        <v>6189</v>
      </c>
      <c r="D2654" s="2">
        <v>42459</v>
      </c>
      <c r="E2654" s="1" t="s">
        <v>18</v>
      </c>
      <c r="F2654" t="str">
        <f>HYPERLINK("http://www.sec.gov/Archives/edgar/data/1551271/0001193125-16-523124-index.html")</f>
        <v>http://www.sec.gov/Archives/edgar/data/1551271/0001193125-16-523124-index.html</v>
      </c>
    </row>
    <row r="2655" spans="1:6" x14ac:dyDescent="0.2">
      <c r="A2655" t="s">
        <v>2401</v>
      </c>
      <c r="B2655" s="1">
        <v>1552327</v>
      </c>
      <c r="C2655" s="1">
        <v>6189</v>
      </c>
      <c r="D2655" s="2">
        <v>42459</v>
      </c>
      <c r="E2655" s="1" t="s">
        <v>42</v>
      </c>
      <c r="F2655" t="str">
        <f>HYPERLINK("http://www.sec.gov/Archives/edgar/data/1552327/0001019965-16-000380-index.html")</f>
        <v>http://www.sec.gov/Archives/edgar/data/1552327/0001019965-16-000380-index.html</v>
      </c>
    </row>
    <row r="2656" spans="1:6" x14ac:dyDescent="0.2">
      <c r="A2656" t="s">
        <v>2401</v>
      </c>
      <c r="B2656" s="1">
        <v>1552327</v>
      </c>
      <c r="C2656" s="1">
        <v>6189</v>
      </c>
      <c r="D2656" s="2">
        <v>42459</v>
      </c>
      <c r="E2656" s="1" t="s">
        <v>18</v>
      </c>
      <c r="F2656" t="str">
        <f>HYPERLINK("http://www.sec.gov/Archives/edgar/data/1552327/0001019965-16-000370-index.html")</f>
        <v>http://www.sec.gov/Archives/edgar/data/1552327/0001019965-16-000370-index.html</v>
      </c>
    </row>
    <row r="2657" spans="1:6" x14ac:dyDescent="0.2">
      <c r="A2657" t="s">
        <v>892</v>
      </c>
      <c r="B2657" s="1">
        <v>1552401</v>
      </c>
      <c r="C2657" s="1">
        <v>6189</v>
      </c>
      <c r="D2657" s="2">
        <v>42459</v>
      </c>
      <c r="E2657" s="1" t="s">
        <v>18</v>
      </c>
      <c r="F2657" t="str">
        <f>HYPERLINK("http://www.sec.gov/Archives/edgar/data/1552401/0001193125-16-522756-index.html")</f>
        <v>http://www.sec.gov/Archives/edgar/data/1552401/0001193125-16-522756-index.html</v>
      </c>
    </row>
    <row r="2658" spans="1:6" x14ac:dyDescent="0.2">
      <c r="A2658" t="s">
        <v>2402</v>
      </c>
      <c r="B2658" s="1">
        <v>1553734</v>
      </c>
      <c r="C2658" s="1">
        <v>7500</v>
      </c>
      <c r="D2658" s="2">
        <v>42459</v>
      </c>
      <c r="E2658" s="1" t="s">
        <v>18</v>
      </c>
      <c r="F2658" t="str">
        <f>HYPERLINK("http://www.sec.gov/Archives/edgar/data/1553734/0001477932-16-009358-index.html")</f>
        <v>http://www.sec.gov/Archives/edgar/data/1553734/0001477932-16-009358-index.html</v>
      </c>
    </row>
    <row r="2659" spans="1:6" x14ac:dyDescent="0.2">
      <c r="A2659" t="s">
        <v>2403</v>
      </c>
      <c r="B2659" s="1">
        <v>1554730</v>
      </c>
      <c r="C2659" s="1">
        <v>6189</v>
      </c>
      <c r="D2659" s="2">
        <v>42459</v>
      </c>
      <c r="E2659" s="1" t="s">
        <v>18</v>
      </c>
      <c r="F2659" t="str">
        <f>HYPERLINK("http://www.sec.gov/Archives/edgar/data/1554730/0001193125-16-523885-index.html")</f>
        <v>http://www.sec.gov/Archives/edgar/data/1554730/0001193125-16-523885-index.html</v>
      </c>
    </row>
    <row r="2660" spans="1:6" x14ac:dyDescent="0.2">
      <c r="A2660" t="s">
        <v>893</v>
      </c>
      <c r="B2660" s="1">
        <v>1554933</v>
      </c>
      <c r="C2660" s="1">
        <v>6189</v>
      </c>
      <c r="D2660" s="2">
        <v>42459</v>
      </c>
      <c r="E2660" s="1" t="s">
        <v>18</v>
      </c>
      <c r="F2660" t="str">
        <f>HYPERLINK("http://www.sec.gov/Archives/edgar/data/1554933/0001193125-16-522994-index.html")</f>
        <v>http://www.sec.gov/Archives/edgar/data/1554933/0001193125-16-522994-index.html</v>
      </c>
    </row>
    <row r="2661" spans="1:6" x14ac:dyDescent="0.2">
      <c r="A2661" t="s">
        <v>2404</v>
      </c>
      <c r="B2661" s="1">
        <v>1556107</v>
      </c>
      <c r="C2661" s="1">
        <v>6189</v>
      </c>
      <c r="D2661" s="2">
        <v>42459</v>
      </c>
      <c r="E2661" s="1" t="s">
        <v>18</v>
      </c>
      <c r="F2661" t="str">
        <f>HYPERLINK("http://www.sec.gov/Archives/edgar/data/1556107/0001193125-16-523152-index.html")</f>
        <v>http://www.sec.gov/Archives/edgar/data/1556107/0001193125-16-523152-index.html</v>
      </c>
    </row>
    <row r="2662" spans="1:6" x14ac:dyDescent="0.2">
      <c r="A2662" t="s">
        <v>2405</v>
      </c>
      <c r="B2662" s="1">
        <v>1556811</v>
      </c>
      <c r="C2662" s="1">
        <v>6189</v>
      </c>
      <c r="D2662" s="2">
        <v>42459</v>
      </c>
      <c r="E2662" s="1" t="s">
        <v>18</v>
      </c>
      <c r="F2662" t="str">
        <f>HYPERLINK("http://www.sec.gov/Archives/edgar/data/1556811/0001193125-16-523606-index.html")</f>
        <v>http://www.sec.gov/Archives/edgar/data/1556811/0001193125-16-523606-index.html</v>
      </c>
    </row>
    <row r="2663" spans="1:6" x14ac:dyDescent="0.2">
      <c r="A2663" t="s">
        <v>2406</v>
      </c>
      <c r="B2663" s="1">
        <v>1558009</v>
      </c>
      <c r="C2663" s="1">
        <v>5900</v>
      </c>
      <c r="D2663" s="2">
        <v>42459</v>
      </c>
      <c r="E2663" s="1" t="s">
        <v>18</v>
      </c>
      <c r="F2663" t="str">
        <f>HYPERLINK("http://www.sec.gov/Archives/edgar/data/1558009/0001662252-16-000111-index.html")</f>
        <v>http://www.sec.gov/Archives/edgar/data/1558009/0001662252-16-000111-index.html</v>
      </c>
    </row>
    <row r="2664" spans="1:6" x14ac:dyDescent="0.2">
      <c r="A2664" t="s">
        <v>2407</v>
      </c>
      <c r="B2664" s="1">
        <v>1558013</v>
      </c>
      <c r="C2664" s="1">
        <v>6189</v>
      </c>
      <c r="D2664" s="2">
        <v>42459</v>
      </c>
      <c r="E2664" s="1" t="s">
        <v>18</v>
      </c>
      <c r="F2664" t="str">
        <f>HYPERLINK("http://www.sec.gov/Archives/edgar/data/1558013/0001056404-16-003839-index.html")</f>
        <v>http://www.sec.gov/Archives/edgar/data/1558013/0001056404-16-003839-index.html</v>
      </c>
    </row>
    <row r="2665" spans="1:6" x14ac:dyDescent="0.2">
      <c r="A2665" t="s">
        <v>1191</v>
      </c>
      <c r="B2665" s="1">
        <v>1558806</v>
      </c>
      <c r="C2665" s="1">
        <v>6189</v>
      </c>
      <c r="D2665" s="2">
        <v>42459</v>
      </c>
      <c r="E2665" s="1" t="s">
        <v>18</v>
      </c>
      <c r="F2665" t="str">
        <f>HYPERLINK("http://www.sec.gov/Archives/edgar/data/1558806/0001193125-16-523391-index.html")</f>
        <v>http://www.sec.gov/Archives/edgar/data/1558806/0001193125-16-523391-index.html</v>
      </c>
    </row>
    <row r="2666" spans="1:6" x14ac:dyDescent="0.2">
      <c r="A2666" t="s">
        <v>894</v>
      </c>
      <c r="B2666" s="1">
        <v>1558871</v>
      </c>
      <c r="C2666" s="1">
        <v>6189</v>
      </c>
      <c r="D2666" s="2">
        <v>42459</v>
      </c>
      <c r="E2666" s="1" t="s">
        <v>18</v>
      </c>
      <c r="F2666" t="str">
        <f>HYPERLINK("http://www.sec.gov/Archives/edgar/data/1558871/0001193125-16-522803-index.html")</f>
        <v>http://www.sec.gov/Archives/edgar/data/1558871/0001193125-16-522803-index.html</v>
      </c>
    </row>
    <row r="2667" spans="1:6" x14ac:dyDescent="0.2">
      <c r="A2667" t="s">
        <v>656</v>
      </c>
      <c r="B2667" s="1">
        <v>1558904</v>
      </c>
      <c r="C2667" s="1">
        <v>6189</v>
      </c>
      <c r="D2667" s="2">
        <v>42459</v>
      </c>
      <c r="E2667" s="1" t="s">
        <v>18</v>
      </c>
      <c r="F2667" t="str">
        <f>HYPERLINK("http://www.sec.gov/Archives/edgar/data/1558904/0001193125-16-523895-index.html")</f>
        <v>http://www.sec.gov/Archives/edgar/data/1558904/0001193125-16-523895-index.html</v>
      </c>
    </row>
    <row r="2668" spans="1:6" x14ac:dyDescent="0.2">
      <c r="A2668" t="s">
        <v>1480</v>
      </c>
      <c r="B2668" s="1">
        <v>1559356</v>
      </c>
      <c r="C2668" s="1">
        <v>2834</v>
      </c>
      <c r="D2668" s="2">
        <v>42459</v>
      </c>
      <c r="E2668" s="1" t="s">
        <v>18</v>
      </c>
      <c r="F2668" t="str">
        <f>HYPERLINK("http://www.sec.gov/Archives/edgar/data/1559356/0001493152-16-008400-index.html")</f>
        <v>http://www.sec.gov/Archives/edgar/data/1559356/0001493152-16-008400-index.html</v>
      </c>
    </row>
    <row r="2669" spans="1:6" x14ac:dyDescent="0.2">
      <c r="A2669" t="s">
        <v>2408</v>
      </c>
      <c r="B2669" s="1">
        <v>1559484</v>
      </c>
      <c r="C2669" s="1">
        <v>6798</v>
      </c>
      <c r="D2669" s="2">
        <v>42459</v>
      </c>
      <c r="E2669" s="1" t="s">
        <v>18</v>
      </c>
      <c r="F2669" t="str">
        <f>HYPERLINK("http://www.sec.gov/Archives/edgar/data/1559484/0001559484-16-000045-index.html")</f>
        <v>http://www.sec.gov/Archives/edgar/data/1559484/0001559484-16-000045-index.html</v>
      </c>
    </row>
    <row r="2670" spans="1:6" x14ac:dyDescent="0.2">
      <c r="A2670" t="s">
        <v>2409</v>
      </c>
      <c r="B2670" s="1">
        <v>1559856</v>
      </c>
      <c r="C2670" s="1">
        <v>6189</v>
      </c>
      <c r="D2670" s="2">
        <v>42459</v>
      </c>
      <c r="E2670" s="1" t="s">
        <v>18</v>
      </c>
      <c r="F2670" t="str">
        <f>HYPERLINK("http://www.sec.gov/Archives/edgar/data/1559856/0001193125-16-523164-index.html")</f>
        <v>http://www.sec.gov/Archives/edgar/data/1559856/0001193125-16-523164-index.html</v>
      </c>
    </row>
    <row r="2671" spans="1:6" x14ac:dyDescent="0.2">
      <c r="A2671" t="s">
        <v>2410</v>
      </c>
      <c r="B2671" s="1">
        <v>1559998</v>
      </c>
      <c r="C2671" s="1">
        <v>6552</v>
      </c>
      <c r="D2671" s="2">
        <v>42459</v>
      </c>
      <c r="E2671" s="1" t="s">
        <v>18</v>
      </c>
      <c r="F2671" t="str">
        <f>HYPERLINK("http://www.sec.gov/Archives/edgar/data/1559998/0001144204-16-091470-index.html")</f>
        <v>http://www.sec.gov/Archives/edgar/data/1559998/0001144204-16-091470-index.html</v>
      </c>
    </row>
    <row r="2672" spans="1:6" x14ac:dyDescent="0.2">
      <c r="A2672" t="s">
        <v>2411</v>
      </c>
      <c r="B2672" s="1">
        <v>1560046</v>
      </c>
      <c r="C2672" s="1">
        <v>7359</v>
      </c>
      <c r="D2672" s="2">
        <v>42459</v>
      </c>
      <c r="E2672" s="1" t="s">
        <v>18</v>
      </c>
      <c r="F2672" t="str">
        <f>HYPERLINK("http://www.sec.gov/Archives/edgar/data/1560046/0001493152-16-008462-index.html")</f>
        <v>http://www.sec.gov/Archives/edgar/data/1560046/0001493152-16-008462-index.html</v>
      </c>
    </row>
    <row r="2673" spans="1:6" x14ac:dyDescent="0.2">
      <c r="A2673" t="s">
        <v>657</v>
      </c>
      <c r="B2673" s="1">
        <v>1561167</v>
      </c>
      <c r="C2673" s="1">
        <v>6189</v>
      </c>
      <c r="D2673" s="2">
        <v>42459</v>
      </c>
      <c r="E2673" s="1" t="s">
        <v>18</v>
      </c>
      <c r="F2673" t="str">
        <f>HYPERLINK("http://www.sec.gov/Archives/edgar/data/1561167/0001193125-16-523926-index.html")</f>
        <v>http://www.sec.gov/Archives/edgar/data/1561167/0001193125-16-523926-index.html</v>
      </c>
    </row>
    <row r="2674" spans="1:6" x14ac:dyDescent="0.2">
      <c r="A2674" t="s">
        <v>2412</v>
      </c>
      <c r="B2674" s="1">
        <v>1561551</v>
      </c>
      <c r="C2674" s="1">
        <v>2834</v>
      </c>
      <c r="D2674" s="2">
        <v>42459</v>
      </c>
      <c r="E2674" s="1" t="s">
        <v>18</v>
      </c>
      <c r="F2674" t="str">
        <f>HYPERLINK("http://www.sec.gov/Archives/edgar/data/1561551/0001615774-16-004680-index.html")</f>
        <v>http://www.sec.gov/Archives/edgar/data/1561551/0001615774-16-004680-index.html</v>
      </c>
    </row>
    <row r="2675" spans="1:6" x14ac:dyDescent="0.2">
      <c r="A2675" t="s">
        <v>2413</v>
      </c>
      <c r="B2675" s="1">
        <v>1562107</v>
      </c>
      <c r="C2675" s="1">
        <v>3845</v>
      </c>
      <c r="D2675" s="2">
        <v>42459</v>
      </c>
      <c r="E2675" s="1" t="s">
        <v>18</v>
      </c>
      <c r="F2675" t="str">
        <f>HYPERLINK("http://www.sec.gov/Archives/edgar/data/1562107/0001469709-16-000739-index.html")</f>
        <v>http://www.sec.gov/Archives/edgar/data/1562107/0001469709-16-000739-index.html</v>
      </c>
    </row>
    <row r="2676" spans="1:6" x14ac:dyDescent="0.2">
      <c r="A2676" t="s">
        <v>2414</v>
      </c>
      <c r="B2676" s="1">
        <v>1562622</v>
      </c>
      <c r="C2676" s="1">
        <v>6221</v>
      </c>
      <c r="D2676" s="2">
        <v>42459</v>
      </c>
      <c r="E2676" s="1" t="s">
        <v>18</v>
      </c>
      <c r="F2676" t="str">
        <f>HYPERLINK("http://www.sec.gov/Archives/edgar/data/1562622/0001104659-16-108503-index.html")</f>
        <v>http://www.sec.gov/Archives/edgar/data/1562622/0001104659-16-108503-index.html</v>
      </c>
    </row>
    <row r="2677" spans="1:6" x14ac:dyDescent="0.2">
      <c r="A2677" t="s">
        <v>2415</v>
      </c>
      <c r="B2677" s="1">
        <v>1562733</v>
      </c>
      <c r="C2677" s="1">
        <v>2833</v>
      </c>
      <c r="D2677" s="2">
        <v>42459</v>
      </c>
      <c r="E2677" s="1" t="s">
        <v>18</v>
      </c>
      <c r="F2677" t="str">
        <f>HYPERLINK("http://www.sec.gov/Archives/edgar/data/1562733/0001493152-16-008381-index.html")</f>
        <v>http://www.sec.gov/Archives/edgar/data/1562733/0001493152-16-008381-index.html</v>
      </c>
    </row>
    <row r="2678" spans="1:6" x14ac:dyDescent="0.2">
      <c r="A2678" t="s">
        <v>658</v>
      </c>
      <c r="B2678" s="1">
        <v>1563531</v>
      </c>
      <c r="C2678" s="1">
        <v>6189</v>
      </c>
      <c r="D2678" s="2">
        <v>42459</v>
      </c>
      <c r="E2678" s="1" t="s">
        <v>18</v>
      </c>
      <c r="F2678" t="str">
        <f>HYPERLINK("http://www.sec.gov/Archives/edgar/data/1563531/0001193125-16-523823-index.html")</f>
        <v>http://www.sec.gov/Archives/edgar/data/1563531/0001193125-16-523823-index.html</v>
      </c>
    </row>
    <row r="2679" spans="1:6" x14ac:dyDescent="0.2">
      <c r="A2679" t="s">
        <v>2416</v>
      </c>
      <c r="B2679" s="1">
        <v>1563665</v>
      </c>
      <c r="C2679" s="1">
        <v>3841</v>
      </c>
      <c r="D2679" s="2">
        <v>42459</v>
      </c>
      <c r="E2679" s="1" t="s">
        <v>18</v>
      </c>
      <c r="F2679" t="str">
        <f>HYPERLINK("http://www.sec.gov/Archives/edgar/data/1563665/0001144204-16-091643-index.html")</f>
        <v>http://www.sec.gov/Archives/edgar/data/1563665/0001144204-16-091643-index.html</v>
      </c>
    </row>
    <row r="2680" spans="1:6" x14ac:dyDescent="0.2">
      <c r="A2680" t="s">
        <v>2417</v>
      </c>
      <c r="B2680" s="1">
        <v>1564347</v>
      </c>
      <c r="C2680" s="1">
        <v>6189</v>
      </c>
      <c r="D2680" s="2">
        <v>42459</v>
      </c>
      <c r="E2680" s="1" t="s">
        <v>42</v>
      </c>
      <c r="F2680" t="str">
        <f>HYPERLINK("http://www.sec.gov/Archives/edgar/data/1564347/0001019965-16-000381-index.html")</f>
        <v>http://www.sec.gov/Archives/edgar/data/1564347/0001019965-16-000381-index.html</v>
      </c>
    </row>
    <row r="2681" spans="1:6" x14ac:dyDescent="0.2">
      <c r="A2681" t="s">
        <v>2417</v>
      </c>
      <c r="B2681" s="1">
        <v>1564347</v>
      </c>
      <c r="C2681" s="1">
        <v>6189</v>
      </c>
      <c r="D2681" s="2">
        <v>42459</v>
      </c>
      <c r="E2681" s="1" t="s">
        <v>18</v>
      </c>
      <c r="F2681" t="str">
        <f>HYPERLINK("http://www.sec.gov/Archives/edgar/data/1564347/0001019965-16-000371-index.html")</f>
        <v>http://www.sec.gov/Archives/edgar/data/1564347/0001019965-16-000371-index.html</v>
      </c>
    </row>
    <row r="2682" spans="1:6" x14ac:dyDescent="0.2">
      <c r="A2682" t="s">
        <v>2418</v>
      </c>
      <c r="B2682" s="1">
        <v>1564968</v>
      </c>
      <c r="C2682" s="1">
        <v>6189</v>
      </c>
      <c r="D2682" s="2">
        <v>42459</v>
      </c>
      <c r="E2682" s="1" t="s">
        <v>18</v>
      </c>
      <c r="F2682" t="str">
        <f>HYPERLINK("http://www.sec.gov/Archives/edgar/data/1564968/0001193125-16-523781-index.html")</f>
        <v>http://www.sec.gov/Archives/edgar/data/1564968/0001193125-16-523781-index.html</v>
      </c>
    </row>
    <row r="2683" spans="1:6" x14ac:dyDescent="0.2">
      <c r="A2683" t="s">
        <v>2419</v>
      </c>
      <c r="B2683" s="1">
        <v>1565531</v>
      </c>
      <c r="C2683" s="1">
        <v>6189</v>
      </c>
      <c r="D2683" s="2">
        <v>42459</v>
      </c>
      <c r="E2683" s="1" t="s">
        <v>18</v>
      </c>
      <c r="F2683" t="str">
        <f>HYPERLINK("http://www.sec.gov/Archives/edgar/data/1565531/0001193125-16-523173-index.html")</f>
        <v>http://www.sec.gov/Archives/edgar/data/1565531/0001193125-16-523173-index.html</v>
      </c>
    </row>
    <row r="2684" spans="1:6" x14ac:dyDescent="0.2">
      <c r="A2684" t="s">
        <v>895</v>
      </c>
      <c r="B2684" s="1">
        <v>1565821</v>
      </c>
      <c r="C2684" s="1">
        <v>6189</v>
      </c>
      <c r="D2684" s="2">
        <v>42459</v>
      </c>
      <c r="E2684" s="1" t="s">
        <v>18</v>
      </c>
      <c r="F2684" t="str">
        <f>HYPERLINK("http://www.sec.gov/Archives/edgar/data/1565821/0001193125-16-522897-index.html")</f>
        <v>http://www.sec.gov/Archives/edgar/data/1565821/0001193125-16-522897-index.html</v>
      </c>
    </row>
    <row r="2685" spans="1:6" x14ac:dyDescent="0.2">
      <c r="A2685" t="s">
        <v>2420</v>
      </c>
      <c r="B2685" s="1">
        <v>1566610</v>
      </c>
      <c r="C2685" s="1">
        <v>7200</v>
      </c>
      <c r="D2685" s="2">
        <v>42459</v>
      </c>
      <c r="E2685" s="1" t="s">
        <v>18</v>
      </c>
      <c r="F2685" t="str">
        <f>HYPERLINK("http://www.sec.gov/Archives/edgar/data/1566610/0001493152-16-008379-index.html")</f>
        <v>http://www.sec.gov/Archives/edgar/data/1566610/0001493152-16-008379-index.html</v>
      </c>
    </row>
    <row r="2686" spans="1:6" x14ac:dyDescent="0.2">
      <c r="A2686" t="s">
        <v>2421</v>
      </c>
      <c r="B2686" s="1">
        <v>1566912</v>
      </c>
      <c r="C2686" s="1">
        <v>6798</v>
      </c>
      <c r="D2686" s="2">
        <v>42459</v>
      </c>
      <c r="E2686" s="1" t="s">
        <v>18</v>
      </c>
      <c r="F2686" t="str">
        <f>HYPERLINK("http://www.sec.gov/Archives/edgar/data/1566912/0001566912-16-000186-index.html")</f>
        <v>http://www.sec.gov/Archives/edgar/data/1566912/0001566912-16-000186-index.html</v>
      </c>
    </row>
    <row r="2687" spans="1:6" x14ac:dyDescent="0.2">
      <c r="A2687" t="s">
        <v>2422</v>
      </c>
      <c r="B2687" s="1">
        <v>1567958</v>
      </c>
      <c r="C2687" s="1">
        <v>6189</v>
      </c>
      <c r="D2687" s="2">
        <v>42459</v>
      </c>
      <c r="E2687" s="1" t="s">
        <v>18</v>
      </c>
      <c r="F2687" t="str">
        <f>HYPERLINK("http://www.sec.gov/Archives/edgar/data/1567958/0001193125-16-523857-index.html")</f>
        <v>http://www.sec.gov/Archives/edgar/data/1567958/0001193125-16-523857-index.html</v>
      </c>
    </row>
    <row r="2688" spans="1:6" x14ac:dyDescent="0.2">
      <c r="A2688" t="s">
        <v>2423</v>
      </c>
      <c r="B2688" s="1">
        <v>1568139</v>
      </c>
      <c r="C2688" s="1">
        <v>2050</v>
      </c>
      <c r="D2688" s="2">
        <v>42459</v>
      </c>
      <c r="E2688" s="1" t="s">
        <v>18</v>
      </c>
      <c r="F2688" t="str">
        <f>HYPERLINK("http://www.sec.gov/Archives/edgar/data/1568139/0001144204-16-091424-index.html")</f>
        <v>http://www.sec.gov/Archives/edgar/data/1568139/0001144204-16-091424-index.html</v>
      </c>
    </row>
    <row r="2689" spans="1:6" x14ac:dyDescent="0.2">
      <c r="A2689" t="s">
        <v>2424</v>
      </c>
      <c r="B2689" s="1">
        <v>1569329</v>
      </c>
      <c r="C2689" s="1">
        <v>5961</v>
      </c>
      <c r="D2689" s="2">
        <v>42459</v>
      </c>
      <c r="E2689" s="1" t="s">
        <v>18</v>
      </c>
      <c r="F2689" t="str">
        <f>HYPERLINK("http://www.sec.gov/Archives/edgar/data/1569329/0001415889-16-005337-index.html")</f>
        <v>http://www.sec.gov/Archives/edgar/data/1569329/0001415889-16-005337-index.html</v>
      </c>
    </row>
    <row r="2690" spans="1:6" x14ac:dyDescent="0.2">
      <c r="A2690" t="s">
        <v>2425</v>
      </c>
      <c r="B2690" s="1">
        <v>1570279</v>
      </c>
      <c r="C2690" s="1">
        <v>7990</v>
      </c>
      <c r="D2690" s="2">
        <v>42459</v>
      </c>
      <c r="E2690" s="1" t="s">
        <v>18</v>
      </c>
      <c r="F2690" t="str">
        <f>HYPERLINK("http://www.sec.gov/Archives/edgar/data/1570279/0001165527-16-000709-index.html")</f>
        <v>http://www.sec.gov/Archives/edgar/data/1570279/0001165527-16-000709-index.html</v>
      </c>
    </row>
    <row r="2691" spans="1:6" x14ac:dyDescent="0.2">
      <c r="A2691" t="s">
        <v>659</v>
      </c>
      <c r="B2691" s="1">
        <v>1570440</v>
      </c>
      <c r="C2691" s="1">
        <v>6189</v>
      </c>
      <c r="D2691" s="2">
        <v>42459</v>
      </c>
      <c r="E2691" s="1" t="s">
        <v>18</v>
      </c>
      <c r="F2691" t="str">
        <f>HYPERLINK("http://www.sec.gov/Archives/edgar/data/1570440/0001193125-16-523811-index.html")</f>
        <v>http://www.sec.gov/Archives/edgar/data/1570440/0001193125-16-523811-index.html</v>
      </c>
    </row>
    <row r="2692" spans="1:6" x14ac:dyDescent="0.2">
      <c r="A2692" t="s">
        <v>896</v>
      </c>
      <c r="B2692" s="1">
        <v>1570603</v>
      </c>
      <c r="C2692" s="1">
        <v>6189</v>
      </c>
      <c r="D2692" s="2">
        <v>42459</v>
      </c>
      <c r="E2692" s="1" t="s">
        <v>18</v>
      </c>
      <c r="F2692" t="str">
        <f>HYPERLINK("http://www.sec.gov/Archives/edgar/data/1570603/0001193125-16-522879-index.html")</f>
        <v>http://www.sec.gov/Archives/edgar/data/1570603/0001193125-16-522879-index.html</v>
      </c>
    </row>
    <row r="2693" spans="1:6" x14ac:dyDescent="0.2">
      <c r="A2693" t="s">
        <v>2426</v>
      </c>
      <c r="B2693" s="1">
        <v>1571116</v>
      </c>
      <c r="C2693" s="1">
        <v>7374</v>
      </c>
      <c r="D2693" s="2">
        <v>42459</v>
      </c>
      <c r="E2693" s="1" t="s">
        <v>18</v>
      </c>
      <c r="F2693" t="str">
        <f>HYPERLINK("http://www.sec.gov/Archives/edgar/data/1571116/0001628280-16-013603-index.html")</f>
        <v>http://www.sec.gov/Archives/edgar/data/1571116/0001628280-16-013603-index.html</v>
      </c>
    </row>
    <row r="2694" spans="1:6" x14ac:dyDescent="0.2">
      <c r="A2694" t="s">
        <v>2427</v>
      </c>
      <c r="B2694" s="1">
        <v>1571117</v>
      </c>
      <c r="C2694" s="1">
        <v>7374</v>
      </c>
      <c r="D2694" s="2">
        <v>42459</v>
      </c>
      <c r="E2694" s="1" t="s">
        <v>18</v>
      </c>
      <c r="F2694" t="str">
        <f>HYPERLINK("http://www.sec.gov/Archives/edgar/data/1571117/0001628280-16-013603-index.html")</f>
        <v>http://www.sec.gov/Archives/edgar/data/1571117/0001628280-16-013603-index.html</v>
      </c>
    </row>
    <row r="2695" spans="1:6" x14ac:dyDescent="0.2">
      <c r="A2695" t="s">
        <v>2428</v>
      </c>
      <c r="B2695" s="1">
        <v>1571237</v>
      </c>
      <c r="C2695" s="1">
        <v>6189</v>
      </c>
      <c r="D2695" s="2">
        <v>42459</v>
      </c>
      <c r="E2695" s="1" t="s">
        <v>18</v>
      </c>
      <c r="F2695" t="str">
        <f>HYPERLINK("http://www.sec.gov/Archives/edgar/data/1571237/0001056404-16-003838-index.html")</f>
        <v>http://www.sec.gov/Archives/edgar/data/1571237/0001056404-16-003838-index.html</v>
      </c>
    </row>
    <row r="2696" spans="1:6" x14ac:dyDescent="0.2">
      <c r="A2696" t="s">
        <v>2429</v>
      </c>
      <c r="B2696" s="1">
        <v>1572334</v>
      </c>
      <c r="C2696" s="1">
        <v>6021</v>
      </c>
      <c r="D2696" s="2">
        <v>42459</v>
      </c>
      <c r="E2696" s="1" t="s">
        <v>18</v>
      </c>
      <c r="F2696" t="str">
        <f>HYPERLINK("http://www.sec.gov/Archives/edgar/data/1572334/0001206774-16-005191-index.html")</f>
        <v>http://www.sec.gov/Archives/edgar/data/1572334/0001206774-16-005191-index.html</v>
      </c>
    </row>
    <row r="2697" spans="1:6" x14ac:dyDescent="0.2">
      <c r="A2697" t="s">
        <v>2430</v>
      </c>
      <c r="B2697" s="1">
        <v>1572565</v>
      </c>
      <c r="C2697" s="1">
        <v>3590</v>
      </c>
      <c r="D2697" s="2">
        <v>42459</v>
      </c>
      <c r="E2697" s="1" t="s">
        <v>18</v>
      </c>
      <c r="F2697" t="str">
        <f>HYPERLINK("http://www.sec.gov/Archives/edgar/data/1572565/0001640334-16-000888-index.html")</f>
        <v>http://www.sec.gov/Archives/edgar/data/1572565/0001640334-16-000888-index.html</v>
      </c>
    </row>
    <row r="2698" spans="1:6" x14ac:dyDescent="0.2">
      <c r="A2698" t="s">
        <v>2431</v>
      </c>
      <c r="B2698" s="1">
        <v>1572987</v>
      </c>
      <c r="C2698" s="1">
        <v>6189</v>
      </c>
      <c r="D2698" s="2">
        <v>42459</v>
      </c>
      <c r="E2698" s="1" t="s">
        <v>18</v>
      </c>
      <c r="F2698" t="str">
        <f>HYPERLINK("http://www.sec.gov/Archives/edgar/data/1572987/0001193125-16-523205-index.html")</f>
        <v>http://www.sec.gov/Archives/edgar/data/1572987/0001193125-16-523205-index.html</v>
      </c>
    </row>
    <row r="2699" spans="1:6" x14ac:dyDescent="0.2">
      <c r="A2699" t="s">
        <v>2432</v>
      </c>
      <c r="B2699" s="1">
        <v>1573946</v>
      </c>
      <c r="C2699" s="1">
        <v>6189</v>
      </c>
      <c r="D2699" s="2">
        <v>42459</v>
      </c>
      <c r="E2699" s="1" t="s">
        <v>18</v>
      </c>
      <c r="F2699" t="str">
        <f>HYPERLINK("http://www.sec.gov/Archives/edgar/data/1573946/0001193125-16-523635-index.html")</f>
        <v>http://www.sec.gov/Archives/edgar/data/1573946/0001193125-16-523635-index.html</v>
      </c>
    </row>
    <row r="2700" spans="1:6" x14ac:dyDescent="0.2">
      <c r="A2700" t="s">
        <v>2433</v>
      </c>
      <c r="B2700" s="1">
        <v>1574186</v>
      </c>
      <c r="C2700" s="1">
        <v>700</v>
      </c>
      <c r="D2700" s="2">
        <v>42459</v>
      </c>
      <c r="E2700" s="1" t="s">
        <v>18</v>
      </c>
      <c r="F2700" t="str">
        <f>HYPERLINK("http://www.sec.gov/Archives/edgar/data/1574186/0001144204-16-091609-index.html")</f>
        <v>http://www.sec.gov/Archives/edgar/data/1574186/0001144204-16-091609-index.html</v>
      </c>
    </row>
    <row r="2701" spans="1:6" x14ac:dyDescent="0.2">
      <c r="A2701" t="s">
        <v>2434</v>
      </c>
      <c r="B2701" s="1">
        <v>1574593</v>
      </c>
      <c r="C2701" s="1">
        <v>6189</v>
      </c>
      <c r="D2701" s="2">
        <v>42459</v>
      </c>
      <c r="E2701" s="1" t="s">
        <v>18</v>
      </c>
      <c r="F2701" t="str">
        <f>HYPERLINK("http://www.sec.gov/Archives/edgar/data/1574593/0001193125-16-523860-index.html")</f>
        <v>http://www.sec.gov/Archives/edgar/data/1574593/0001193125-16-523860-index.html</v>
      </c>
    </row>
    <row r="2702" spans="1:6" x14ac:dyDescent="0.2">
      <c r="A2702" t="s">
        <v>2435</v>
      </c>
      <c r="B2702" s="1">
        <v>1574676</v>
      </c>
      <c r="C2702" s="1">
        <v>8711</v>
      </c>
      <c r="D2702" s="2">
        <v>42459</v>
      </c>
      <c r="E2702" s="1" t="s">
        <v>18</v>
      </c>
      <c r="F2702" t="str">
        <f>HYPERLINK("http://www.sec.gov/Archives/edgar/data/1574676/0001062993-16-008593-index.html")</f>
        <v>http://www.sec.gov/Archives/edgar/data/1574676/0001062993-16-008593-index.html</v>
      </c>
    </row>
    <row r="2703" spans="1:6" x14ac:dyDescent="0.2">
      <c r="A2703" t="s">
        <v>2436</v>
      </c>
      <c r="B2703" s="1">
        <v>1575048</v>
      </c>
      <c r="C2703" s="1">
        <v>7359</v>
      </c>
      <c r="D2703" s="2">
        <v>42459</v>
      </c>
      <c r="E2703" s="1" t="s">
        <v>18</v>
      </c>
      <c r="F2703" t="str">
        <f>HYPERLINK("http://www.sec.gov/Archives/edgar/data/1575048/0001144204-16-091096-index.html")</f>
        <v>http://www.sec.gov/Archives/edgar/data/1575048/0001144204-16-091096-index.html</v>
      </c>
    </row>
    <row r="2704" spans="1:6" x14ac:dyDescent="0.2">
      <c r="A2704" t="s">
        <v>897</v>
      </c>
      <c r="B2704" s="1">
        <v>1575073</v>
      </c>
      <c r="C2704" s="1">
        <v>6189</v>
      </c>
      <c r="D2704" s="2">
        <v>42459</v>
      </c>
      <c r="E2704" s="1" t="s">
        <v>18</v>
      </c>
      <c r="F2704" t="str">
        <f>HYPERLINK("http://www.sec.gov/Archives/edgar/data/1575073/0001193125-16-522852-index.html")</f>
        <v>http://www.sec.gov/Archives/edgar/data/1575073/0001193125-16-522852-index.html</v>
      </c>
    </row>
    <row r="2705" spans="1:6" x14ac:dyDescent="0.2">
      <c r="A2705" t="s">
        <v>2437</v>
      </c>
      <c r="B2705" s="1">
        <v>1575098</v>
      </c>
      <c r="C2705" s="1">
        <v>6189</v>
      </c>
      <c r="D2705" s="2">
        <v>42459</v>
      </c>
      <c r="E2705" s="1" t="s">
        <v>18</v>
      </c>
      <c r="F2705" t="str">
        <f>HYPERLINK("http://www.sec.gov/Archives/edgar/data/1575098/0001193125-16-523208-index.html")</f>
        <v>http://www.sec.gov/Archives/edgar/data/1575098/0001193125-16-523208-index.html</v>
      </c>
    </row>
    <row r="2706" spans="1:6" x14ac:dyDescent="0.2">
      <c r="A2706" t="s">
        <v>2438</v>
      </c>
      <c r="B2706" s="1">
        <v>1575574</v>
      </c>
      <c r="C2706" s="1">
        <v>2860</v>
      </c>
      <c r="D2706" s="2">
        <v>42459</v>
      </c>
      <c r="E2706" s="1" t="s">
        <v>18</v>
      </c>
      <c r="F2706" t="str">
        <f>HYPERLINK("http://www.sec.gov/Archives/edgar/data/1575574/0001144204-16-091282-index.html")</f>
        <v>http://www.sec.gov/Archives/edgar/data/1575574/0001144204-16-091282-index.html</v>
      </c>
    </row>
    <row r="2707" spans="1:6" x14ac:dyDescent="0.2">
      <c r="A2707" t="s">
        <v>2439</v>
      </c>
      <c r="B2707" s="1">
        <v>1575599</v>
      </c>
      <c r="C2707" s="1">
        <v>4922</v>
      </c>
      <c r="D2707" s="2">
        <v>42459</v>
      </c>
      <c r="E2707" s="1" t="s">
        <v>18</v>
      </c>
      <c r="F2707" t="str">
        <f>HYPERLINK("http://www.sec.gov/Archives/edgar/data/1575599/0001558370-16-004480-index.html")</f>
        <v>http://www.sec.gov/Archives/edgar/data/1575599/0001558370-16-004480-index.html</v>
      </c>
    </row>
    <row r="2708" spans="1:6" x14ac:dyDescent="0.2">
      <c r="A2708" t="s">
        <v>660</v>
      </c>
      <c r="B2708" s="1">
        <v>1576709</v>
      </c>
      <c r="C2708" s="1">
        <v>6189</v>
      </c>
      <c r="D2708" s="2">
        <v>42459</v>
      </c>
      <c r="E2708" s="1" t="s">
        <v>18</v>
      </c>
      <c r="F2708" t="str">
        <f>HYPERLINK("http://www.sec.gov/Archives/edgar/data/1576709/0001193125-16-523842-index.html")</f>
        <v>http://www.sec.gov/Archives/edgar/data/1576709/0001193125-16-523842-index.html</v>
      </c>
    </row>
    <row r="2709" spans="1:6" x14ac:dyDescent="0.2">
      <c r="A2709" t="s">
        <v>661</v>
      </c>
      <c r="B2709" s="1">
        <v>1577310</v>
      </c>
      <c r="C2709" s="1">
        <v>6189</v>
      </c>
      <c r="D2709" s="2">
        <v>42459</v>
      </c>
      <c r="E2709" s="1" t="s">
        <v>18</v>
      </c>
      <c r="F2709" t="str">
        <f>HYPERLINK("http://www.sec.gov/Archives/edgar/data/1577310/0001193125-16-523777-index.html")</f>
        <v>http://www.sec.gov/Archives/edgar/data/1577310/0001193125-16-523777-index.html</v>
      </c>
    </row>
    <row r="2710" spans="1:6" x14ac:dyDescent="0.2">
      <c r="A2710" t="s">
        <v>2440</v>
      </c>
      <c r="B2710" s="1">
        <v>1577311</v>
      </c>
      <c r="C2710" s="1">
        <v>6189</v>
      </c>
      <c r="D2710" s="2">
        <v>42459</v>
      </c>
      <c r="E2710" s="1" t="s">
        <v>18</v>
      </c>
      <c r="F2710" t="str">
        <f>HYPERLINK("http://www.sec.gov/Archives/edgar/data/1577311/0001056404-16-003841-index.html")</f>
        <v>http://www.sec.gov/Archives/edgar/data/1577311/0001056404-16-003841-index.html</v>
      </c>
    </row>
    <row r="2711" spans="1:6" x14ac:dyDescent="0.2">
      <c r="A2711" t="s">
        <v>2441</v>
      </c>
      <c r="B2711" s="1">
        <v>1577459</v>
      </c>
      <c r="C2711" s="1">
        <v>6189</v>
      </c>
      <c r="D2711" s="2">
        <v>42459</v>
      </c>
      <c r="E2711" s="1" t="s">
        <v>18</v>
      </c>
      <c r="F2711" t="str">
        <f>HYPERLINK("http://www.sec.gov/Archives/edgar/data/1577459/0001577459-16-000013-index.html")</f>
        <v>http://www.sec.gov/Archives/edgar/data/1577459/0001577459-16-000013-index.html</v>
      </c>
    </row>
    <row r="2712" spans="1:6" x14ac:dyDescent="0.2">
      <c r="A2712" t="s">
        <v>2442</v>
      </c>
      <c r="B2712" s="1">
        <v>1580485</v>
      </c>
      <c r="C2712" s="1">
        <v>6770</v>
      </c>
      <c r="D2712" s="2">
        <v>42459</v>
      </c>
      <c r="E2712" s="1" t="s">
        <v>18</v>
      </c>
      <c r="F2712" t="str">
        <f>HYPERLINK("http://www.sec.gov/Archives/edgar/data/1580485/0001657250-16-000048-index.html")</f>
        <v>http://www.sec.gov/Archives/edgar/data/1580485/0001657250-16-000048-index.html</v>
      </c>
    </row>
    <row r="2713" spans="1:6" x14ac:dyDescent="0.2">
      <c r="A2713" t="s">
        <v>898</v>
      </c>
      <c r="B2713" s="1">
        <v>1580579</v>
      </c>
      <c r="C2713" s="1">
        <v>6189</v>
      </c>
      <c r="D2713" s="2">
        <v>42459</v>
      </c>
      <c r="E2713" s="1" t="s">
        <v>18</v>
      </c>
      <c r="F2713" t="str">
        <f>HYPERLINK("http://www.sec.gov/Archives/edgar/data/1580579/0001193125-16-523012-index.html")</f>
        <v>http://www.sec.gov/Archives/edgar/data/1580579/0001193125-16-523012-index.html</v>
      </c>
    </row>
    <row r="2714" spans="1:6" x14ac:dyDescent="0.2">
      <c r="A2714" t="s">
        <v>2443</v>
      </c>
      <c r="B2714" s="1">
        <v>1580988</v>
      </c>
      <c r="C2714" s="1">
        <v>6798</v>
      </c>
      <c r="D2714" s="2">
        <v>42459</v>
      </c>
      <c r="E2714" s="1" t="s">
        <v>18</v>
      </c>
      <c r="F2714" t="str">
        <f>HYPERLINK("http://www.sec.gov/Archives/edgar/data/1580988/0001580988-16-000066-index.html")</f>
        <v>http://www.sec.gov/Archives/edgar/data/1580988/0001580988-16-000066-index.html</v>
      </c>
    </row>
    <row r="2715" spans="1:6" x14ac:dyDescent="0.2">
      <c r="A2715" t="s">
        <v>2444</v>
      </c>
      <c r="B2715" s="1">
        <v>1582081</v>
      </c>
      <c r="C2715" s="1">
        <v>6189</v>
      </c>
      <c r="D2715" s="2">
        <v>42459</v>
      </c>
      <c r="E2715" s="1" t="s">
        <v>18</v>
      </c>
      <c r="F2715" t="str">
        <f>HYPERLINK("http://www.sec.gov/Archives/edgar/data/1582081/0001193125-16-523221-index.html")</f>
        <v>http://www.sec.gov/Archives/edgar/data/1582081/0001193125-16-523221-index.html</v>
      </c>
    </row>
    <row r="2716" spans="1:6" x14ac:dyDescent="0.2">
      <c r="A2716" t="s">
        <v>2445</v>
      </c>
      <c r="B2716" s="1">
        <v>1582554</v>
      </c>
      <c r="C2716" s="1">
        <v>2834</v>
      </c>
      <c r="D2716" s="2">
        <v>42459</v>
      </c>
      <c r="E2716" s="1" t="s">
        <v>18</v>
      </c>
      <c r="F2716" t="str">
        <f>HYPERLINK("http://www.sec.gov/Archives/edgar/data/1582554/0001144204-16-091635-index.html")</f>
        <v>http://www.sec.gov/Archives/edgar/data/1582554/0001144204-16-091635-index.html</v>
      </c>
    </row>
    <row r="2717" spans="1:6" x14ac:dyDescent="0.2">
      <c r="A2717" t="s">
        <v>2446</v>
      </c>
      <c r="B2717" s="1">
        <v>1583513</v>
      </c>
      <c r="C2717" s="1">
        <v>6770</v>
      </c>
      <c r="D2717" s="2">
        <v>42459</v>
      </c>
      <c r="E2717" s="1" t="s">
        <v>18</v>
      </c>
      <c r="F2717" t="str">
        <f>HYPERLINK("http://www.sec.gov/Archives/edgar/data/1583513/0001144204-16-091634-index.html")</f>
        <v>http://www.sec.gov/Archives/edgar/data/1583513/0001144204-16-091634-index.html</v>
      </c>
    </row>
    <row r="2718" spans="1:6" x14ac:dyDescent="0.2">
      <c r="A2718" t="s">
        <v>2447</v>
      </c>
      <c r="B2718" s="1">
        <v>1584584</v>
      </c>
      <c r="C2718" s="1">
        <v>4700</v>
      </c>
      <c r="D2718" s="2">
        <v>42459</v>
      </c>
      <c r="E2718" s="1" t="s">
        <v>21</v>
      </c>
      <c r="F2718" t="str">
        <f>HYPERLINK("http://www.sec.gov/Archives/edgar/data/1584584/0001640334-16-000882-index.html")</f>
        <v>http://www.sec.gov/Archives/edgar/data/1584584/0001640334-16-000882-index.html</v>
      </c>
    </row>
    <row r="2719" spans="1:6" x14ac:dyDescent="0.2">
      <c r="A2719" t="s">
        <v>2448</v>
      </c>
      <c r="B2719" s="1">
        <v>1584747</v>
      </c>
      <c r="C2719" s="1">
        <v>6189</v>
      </c>
      <c r="D2719" s="2">
        <v>42459</v>
      </c>
      <c r="E2719" s="1" t="s">
        <v>18</v>
      </c>
      <c r="F2719" t="str">
        <f>HYPERLINK("http://www.sec.gov/Archives/edgar/data/1584747/0001193125-16-523224-index.html")</f>
        <v>http://www.sec.gov/Archives/edgar/data/1584747/0001193125-16-523224-index.html</v>
      </c>
    </row>
    <row r="2720" spans="1:6" x14ac:dyDescent="0.2">
      <c r="A2720" t="s">
        <v>2449</v>
      </c>
      <c r="B2720" s="1">
        <v>1585002</v>
      </c>
      <c r="C2720" s="1">
        <v>2731</v>
      </c>
      <c r="D2720" s="2">
        <v>42459</v>
      </c>
      <c r="E2720" s="1" t="s">
        <v>18</v>
      </c>
      <c r="F2720" t="str">
        <f>HYPERLINK("http://www.sec.gov/Archives/edgar/data/1585002/0001585002-16-000043-index.html")</f>
        <v>http://www.sec.gov/Archives/edgar/data/1585002/0001585002-16-000043-index.html</v>
      </c>
    </row>
    <row r="2721" spans="1:6" x14ac:dyDescent="0.2">
      <c r="A2721" t="s">
        <v>2450</v>
      </c>
      <c r="B2721" s="1">
        <v>1585673</v>
      </c>
      <c r="C2721" s="1">
        <v>6189</v>
      </c>
      <c r="D2721" s="2">
        <v>42459</v>
      </c>
      <c r="E2721" s="1" t="s">
        <v>18</v>
      </c>
      <c r="F2721" t="str">
        <f>HYPERLINK("http://www.sec.gov/Archives/edgar/data/1585673/0001193125-16-523796-index.html")</f>
        <v>http://www.sec.gov/Archives/edgar/data/1585673/0001193125-16-523796-index.html</v>
      </c>
    </row>
    <row r="2722" spans="1:6" x14ac:dyDescent="0.2">
      <c r="A2722" t="s">
        <v>2451</v>
      </c>
      <c r="B2722" s="1">
        <v>1587497</v>
      </c>
      <c r="C2722" s="1">
        <v>6189</v>
      </c>
      <c r="D2722" s="2">
        <v>42459</v>
      </c>
      <c r="E2722" s="1" t="s">
        <v>18</v>
      </c>
      <c r="F2722" t="str">
        <f>HYPERLINK("http://www.sec.gov/Archives/edgar/data/1587497/0001056404-16-003845-index.html")</f>
        <v>http://www.sec.gov/Archives/edgar/data/1587497/0001056404-16-003845-index.html</v>
      </c>
    </row>
    <row r="2723" spans="1:6" x14ac:dyDescent="0.2">
      <c r="A2723" t="s">
        <v>2452</v>
      </c>
      <c r="B2723" s="1">
        <v>1587650</v>
      </c>
      <c r="C2723" s="1">
        <v>6189</v>
      </c>
      <c r="D2723" s="2">
        <v>42459</v>
      </c>
      <c r="E2723" s="1" t="s">
        <v>18</v>
      </c>
      <c r="F2723" t="str">
        <f>HYPERLINK("http://www.sec.gov/Archives/edgar/data/1587650/0001587650-16-000012-index.html")</f>
        <v>http://www.sec.gov/Archives/edgar/data/1587650/0001587650-16-000012-index.html</v>
      </c>
    </row>
    <row r="2724" spans="1:6" x14ac:dyDescent="0.2">
      <c r="A2724" t="s">
        <v>2453</v>
      </c>
      <c r="B2724" s="1">
        <v>1589061</v>
      </c>
      <c r="C2724" s="1">
        <v>6512</v>
      </c>
      <c r="D2724" s="2">
        <v>42459</v>
      </c>
      <c r="E2724" s="1" t="s">
        <v>18</v>
      </c>
      <c r="F2724" t="str">
        <f>HYPERLINK("http://www.sec.gov/Archives/edgar/data/1589061/0001437749-16-028641-index.html")</f>
        <v>http://www.sec.gov/Archives/edgar/data/1589061/0001437749-16-028641-index.html</v>
      </c>
    </row>
    <row r="2725" spans="1:6" x14ac:dyDescent="0.2">
      <c r="A2725" t="s">
        <v>2454</v>
      </c>
      <c r="B2725" s="1">
        <v>1589149</v>
      </c>
      <c r="C2725" s="1">
        <v>7370</v>
      </c>
      <c r="D2725" s="2">
        <v>42459</v>
      </c>
      <c r="E2725" s="1" t="s">
        <v>18</v>
      </c>
      <c r="F2725" t="str">
        <f>HYPERLINK("http://www.sec.gov/Archives/edgar/data/1589149/0000721748-16-001131-index.html")</f>
        <v>http://www.sec.gov/Archives/edgar/data/1589149/0000721748-16-001131-index.html</v>
      </c>
    </row>
    <row r="2726" spans="1:6" x14ac:dyDescent="0.2">
      <c r="A2726" t="s">
        <v>899</v>
      </c>
      <c r="B2726" s="1">
        <v>1589220</v>
      </c>
      <c r="C2726" s="1">
        <v>6189</v>
      </c>
      <c r="D2726" s="2">
        <v>42459</v>
      </c>
      <c r="E2726" s="1" t="s">
        <v>18</v>
      </c>
      <c r="F2726" t="str">
        <f>HYPERLINK("http://www.sec.gov/Archives/edgar/data/1589220/0001193125-16-522887-index.html")</f>
        <v>http://www.sec.gov/Archives/edgar/data/1589220/0001193125-16-522887-index.html</v>
      </c>
    </row>
    <row r="2727" spans="1:6" x14ac:dyDescent="0.2">
      <c r="A2727" t="s">
        <v>2455</v>
      </c>
      <c r="B2727" s="1">
        <v>1589224</v>
      </c>
      <c r="C2727" s="1">
        <v>6189</v>
      </c>
      <c r="D2727" s="2">
        <v>42459</v>
      </c>
      <c r="E2727" s="1" t="s">
        <v>18</v>
      </c>
      <c r="F2727" t="str">
        <f>HYPERLINK("http://www.sec.gov/Archives/edgar/data/1589224/0001193125-16-523251-index.html")</f>
        <v>http://www.sec.gov/Archives/edgar/data/1589224/0001193125-16-523251-index.html</v>
      </c>
    </row>
    <row r="2728" spans="1:6" x14ac:dyDescent="0.2">
      <c r="A2728" t="s">
        <v>2456</v>
      </c>
      <c r="B2728" s="1">
        <v>1590058</v>
      </c>
      <c r="C2728" s="1">
        <v>6189</v>
      </c>
      <c r="D2728" s="2">
        <v>42459</v>
      </c>
      <c r="E2728" s="1" t="s">
        <v>18</v>
      </c>
      <c r="F2728" t="str">
        <f>HYPERLINK("http://www.sec.gov/Archives/edgar/data/1590058/0001193125-16-523698-index.html")</f>
        <v>http://www.sec.gov/Archives/edgar/data/1590058/0001193125-16-523698-index.html</v>
      </c>
    </row>
    <row r="2729" spans="1:6" x14ac:dyDescent="0.2">
      <c r="A2729" t="s">
        <v>2457</v>
      </c>
      <c r="B2729" s="1">
        <v>1590757</v>
      </c>
      <c r="C2729" s="1">
        <v>6189</v>
      </c>
      <c r="D2729" s="2">
        <v>42459</v>
      </c>
      <c r="E2729" s="1" t="s">
        <v>18</v>
      </c>
      <c r="F2729" t="str">
        <f>HYPERLINK("http://www.sec.gov/Archives/edgar/data/1590757/0001056404-16-003843-index.html")</f>
        <v>http://www.sec.gov/Archives/edgar/data/1590757/0001056404-16-003843-index.html</v>
      </c>
    </row>
    <row r="2730" spans="1:6" x14ac:dyDescent="0.2">
      <c r="A2730" t="s">
        <v>2458</v>
      </c>
      <c r="B2730" s="1">
        <v>1590799</v>
      </c>
      <c r="C2730" s="1">
        <v>6021</v>
      </c>
      <c r="D2730" s="2">
        <v>42459</v>
      </c>
      <c r="E2730" s="1" t="s">
        <v>18</v>
      </c>
      <c r="F2730" t="str">
        <f>HYPERLINK("http://www.sec.gov/Archives/edgar/data/1590799/0001193125-16-523004-index.html")</f>
        <v>http://www.sec.gov/Archives/edgar/data/1590799/0001193125-16-523004-index.html</v>
      </c>
    </row>
    <row r="2731" spans="1:6" x14ac:dyDescent="0.2">
      <c r="A2731" t="s">
        <v>2459</v>
      </c>
      <c r="B2731" s="1">
        <v>1591602</v>
      </c>
      <c r="C2731" s="1">
        <v>6189</v>
      </c>
      <c r="D2731" s="2">
        <v>42459</v>
      </c>
      <c r="E2731" s="1" t="s">
        <v>18</v>
      </c>
      <c r="F2731" t="str">
        <f>HYPERLINK("http://www.sec.gov/Archives/edgar/data/1591602/0001193125-16-522855-index.html")</f>
        <v>http://www.sec.gov/Archives/edgar/data/1591602/0001193125-16-522855-index.html</v>
      </c>
    </row>
    <row r="2732" spans="1:6" x14ac:dyDescent="0.2">
      <c r="A2732" t="s">
        <v>2460</v>
      </c>
      <c r="B2732" s="1">
        <v>1592143</v>
      </c>
      <c r="C2732" s="1">
        <v>7374</v>
      </c>
      <c r="D2732" s="2">
        <v>42459</v>
      </c>
      <c r="E2732" s="1" t="s">
        <v>18</v>
      </c>
      <c r="F2732" t="str">
        <f>HYPERLINK("http://www.sec.gov/Archives/edgar/data/1592143/0001193125-16-523449-index.html")</f>
        <v>http://www.sec.gov/Archives/edgar/data/1592143/0001193125-16-523449-index.html</v>
      </c>
    </row>
    <row r="2733" spans="1:6" x14ac:dyDescent="0.2">
      <c r="A2733" t="s">
        <v>2461</v>
      </c>
      <c r="B2733" s="1">
        <v>1592145</v>
      </c>
      <c r="C2733" s="1">
        <v>6189</v>
      </c>
      <c r="D2733" s="2">
        <v>42459</v>
      </c>
      <c r="E2733" s="1" t="s">
        <v>18</v>
      </c>
      <c r="F2733" t="str">
        <f>HYPERLINK("http://www.sec.gov/Archives/edgar/data/1592145/0001193125-16-523449-index.html")</f>
        <v>http://www.sec.gov/Archives/edgar/data/1592145/0001193125-16-523449-index.html</v>
      </c>
    </row>
    <row r="2734" spans="1:6" x14ac:dyDescent="0.2">
      <c r="A2734" t="s">
        <v>2462</v>
      </c>
      <c r="B2734" s="1">
        <v>1592411</v>
      </c>
      <c r="C2734" s="1">
        <v>7990</v>
      </c>
      <c r="D2734" s="2">
        <v>42459</v>
      </c>
      <c r="E2734" s="1" t="s">
        <v>18</v>
      </c>
      <c r="F2734" t="str">
        <f>HYPERLINK("http://www.sec.gov/Archives/edgar/data/1592411/0001214659-16-010551-index.html")</f>
        <v>http://www.sec.gov/Archives/edgar/data/1592411/0001214659-16-010551-index.html</v>
      </c>
    </row>
    <row r="2735" spans="1:6" x14ac:dyDescent="0.2">
      <c r="A2735" t="s">
        <v>2463</v>
      </c>
      <c r="B2735" s="1">
        <v>1593549</v>
      </c>
      <c r="C2735" s="1">
        <v>2844</v>
      </c>
      <c r="D2735" s="2">
        <v>42459</v>
      </c>
      <c r="E2735" s="1" t="s">
        <v>18</v>
      </c>
      <c r="F2735" t="str">
        <f>HYPERLINK("http://www.sec.gov/Archives/edgar/data/1593549/0001615774-16-004731-index.html")</f>
        <v>http://www.sec.gov/Archives/edgar/data/1593549/0001615774-16-004731-index.html</v>
      </c>
    </row>
    <row r="2736" spans="1:6" x14ac:dyDescent="0.2">
      <c r="A2736" t="s">
        <v>2464</v>
      </c>
      <c r="B2736" s="1">
        <v>1594688</v>
      </c>
      <c r="C2736" s="1">
        <v>6189</v>
      </c>
      <c r="D2736" s="2">
        <v>42459</v>
      </c>
      <c r="E2736" s="1" t="s">
        <v>18</v>
      </c>
      <c r="F2736" t="str">
        <f>HYPERLINK("http://www.sec.gov/Archives/edgar/data/1594688/0001193125-16-523087-index.html")</f>
        <v>http://www.sec.gov/Archives/edgar/data/1594688/0001193125-16-523087-index.html</v>
      </c>
    </row>
    <row r="2737" spans="1:6" x14ac:dyDescent="0.2">
      <c r="A2737" t="s">
        <v>900</v>
      </c>
      <c r="B2737" s="1">
        <v>1595239</v>
      </c>
      <c r="C2737" s="1">
        <v>6189</v>
      </c>
      <c r="D2737" s="2">
        <v>42459</v>
      </c>
      <c r="E2737" s="1" t="s">
        <v>18</v>
      </c>
      <c r="F2737" t="str">
        <f>HYPERLINK("http://www.sec.gov/Archives/edgar/data/1595239/0001193125-16-522774-index.html")</f>
        <v>http://www.sec.gov/Archives/edgar/data/1595239/0001193125-16-522774-index.html</v>
      </c>
    </row>
    <row r="2738" spans="1:6" x14ac:dyDescent="0.2">
      <c r="A2738" t="s">
        <v>2465</v>
      </c>
      <c r="B2738" s="1">
        <v>1595710</v>
      </c>
      <c r="C2738" s="1">
        <v>6189</v>
      </c>
      <c r="D2738" s="2">
        <v>42459</v>
      </c>
      <c r="E2738" s="1" t="s">
        <v>18</v>
      </c>
      <c r="F2738" t="str">
        <f>HYPERLINK("http://www.sec.gov/Archives/edgar/data/1595710/0001056404-16-003847-index.html")</f>
        <v>http://www.sec.gov/Archives/edgar/data/1595710/0001056404-16-003847-index.html</v>
      </c>
    </row>
    <row r="2739" spans="1:6" x14ac:dyDescent="0.2">
      <c r="A2739" t="s">
        <v>2466</v>
      </c>
      <c r="B2739" s="1">
        <v>1597846</v>
      </c>
      <c r="C2739" s="1">
        <v>7374</v>
      </c>
      <c r="D2739" s="2">
        <v>42459</v>
      </c>
      <c r="E2739" s="1" t="s">
        <v>18</v>
      </c>
      <c r="F2739" t="str">
        <f>HYPERLINK("http://www.sec.gov/Archives/edgar/data/1597846/0001493152-16-008476-index.html")</f>
        <v>http://www.sec.gov/Archives/edgar/data/1597846/0001493152-16-008476-index.html</v>
      </c>
    </row>
    <row r="2740" spans="1:6" x14ac:dyDescent="0.2">
      <c r="A2740" t="s">
        <v>1192</v>
      </c>
      <c r="B2740" s="1">
        <v>1598397</v>
      </c>
      <c r="C2740" s="1">
        <v>6189</v>
      </c>
      <c r="D2740" s="2">
        <v>42459</v>
      </c>
      <c r="E2740" s="1" t="s">
        <v>18</v>
      </c>
      <c r="F2740" t="str">
        <f>HYPERLINK("http://www.sec.gov/Archives/edgar/data/1598397/0001193125-16-523415-index.html")</f>
        <v>http://www.sec.gov/Archives/edgar/data/1598397/0001193125-16-523415-index.html</v>
      </c>
    </row>
    <row r="2741" spans="1:6" x14ac:dyDescent="0.2">
      <c r="A2741" t="s">
        <v>2467</v>
      </c>
      <c r="B2741" s="1">
        <v>1598981</v>
      </c>
      <c r="C2741" s="1">
        <v>3640</v>
      </c>
      <c r="D2741" s="2">
        <v>42459</v>
      </c>
      <c r="E2741" s="1" t="s">
        <v>18</v>
      </c>
      <c r="F2741" t="str">
        <f>HYPERLINK("http://www.sec.gov/Archives/edgar/data/1598981/0000721748-16-001134-index.html")</f>
        <v>http://www.sec.gov/Archives/edgar/data/1598981/0000721748-16-001134-index.html</v>
      </c>
    </row>
    <row r="2742" spans="1:6" x14ac:dyDescent="0.2">
      <c r="A2742" t="s">
        <v>2468</v>
      </c>
      <c r="B2742" s="1">
        <v>1599033</v>
      </c>
      <c r="C2742" s="1">
        <v>6189</v>
      </c>
      <c r="D2742" s="2">
        <v>42459</v>
      </c>
      <c r="E2742" s="1" t="s">
        <v>18</v>
      </c>
      <c r="F2742" t="str">
        <f>HYPERLINK("http://www.sec.gov/Archives/edgar/data/1599033/0001193125-16-523142-index.html")</f>
        <v>http://www.sec.gov/Archives/edgar/data/1599033/0001193125-16-523142-index.html</v>
      </c>
    </row>
    <row r="2743" spans="1:6" x14ac:dyDescent="0.2">
      <c r="A2743" t="s">
        <v>2469</v>
      </c>
      <c r="B2743" s="1">
        <v>1600422</v>
      </c>
      <c r="C2743" s="1">
        <v>3533</v>
      </c>
      <c r="D2743" s="2">
        <v>42459</v>
      </c>
      <c r="E2743" s="1" t="s">
        <v>18</v>
      </c>
      <c r="F2743" t="str">
        <f>HYPERLINK("http://www.sec.gov/Archives/edgar/data/1600422/0001144204-16-091624-index.html")</f>
        <v>http://www.sec.gov/Archives/edgar/data/1600422/0001144204-16-091624-index.html</v>
      </c>
    </row>
    <row r="2744" spans="1:6" x14ac:dyDescent="0.2">
      <c r="A2744" t="s">
        <v>2470</v>
      </c>
      <c r="B2744" s="1">
        <v>1600750</v>
      </c>
      <c r="C2744" s="1">
        <v>7373</v>
      </c>
      <c r="D2744" s="2">
        <v>42459</v>
      </c>
      <c r="E2744" s="1" t="s">
        <v>18</v>
      </c>
      <c r="F2744" t="str">
        <f>HYPERLINK("http://www.sec.gov/Archives/edgar/data/1600750/0001477932-16-009317-index.html")</f>
        <v>http://www.sec.gov/Archives/edgar/data/1600750/0001477932-16-009317-index.html</v>
      </c>
    </row>
    <row r="2745" spans="1:6" x14ac:dyDescent="0.2">
      <c r="A2745" t="s">
        <v>2471</v>
      </c>
      <c r="B2745" s="1">
        <v>1600823</v>
      </c>
      <c r="C2745" s="1">
        <v>6189</v>
      </c>
      <c r="D2745" s="2">
        <v>42459</v>
      </c>
      <c r="E2745" s="1" t="s">
        <v>18</v>
      </c>
      <c r="F2745" t="str">
        <f>HYPERLINK("http://www.sec.gov/Archives/edgar/data/1600823/0001056404-16-003851-index.html")</f>
        <v>http://www.sec.gov/Archives/edgar/data/1600823/0001056404-16-003851-index.html</v>
      </c>
    </row>
    <row r="2746" spans="1:6" x14ac:dyDescent="0.2">
      <c r="A2746" t="s">
        <v>2472</v>
      </c>
      <c r="B2746" s="1">
        <v>1600824</v>
      </c>
      <c r="C2746" s="1">
        <v>6189</v>
      </c>
      <c r="D2746" s="2">
        <v>42459</v>
      </c>
      <c r="E2746" s="1" t="s">
        <v>18</v>
      </c>
      <c r="F2746" t="str">
        <f>HYPERLINK("http://www.sec.gov/Archives/edgar/data/1600824/0001019965-16-000376-index.html")</f>
        <v>http://www.sec.gov/Archives/edgar/data/1600824/0001019965-16-000376-index.html</v>
      </c>
    </row>
    <row r="2747" spans="1:6" x14ac:dyDescent="0.2">
      <c r="A2747" t="s">
        <v>2473</v>
      </c>
      <c r="B2747" s="1">
        <v>1600943</v>
      </c>
      <c r="C2747" s="1">
        <v>6189</v>
      </c>
      <c r="D2747" s="2">
        <v>42459</v>
      </c>
      <c r="E2747" s="1" t="s">
        <v>18</v>
      </c>
      <c r="F2747" t="str">
        <f>HYPERLINK("http://www.sec.gov/Archives/edgar/data/1600943/0000930413-16-006269-index.html")</f>
        <v>http://www.sec.gov/Archives/edgar/data/1600943/0000930413-16-006269-index.html</v>
      </c>
    </row>
    <row r="2748" spans="1:6" x14ac:dyDescent="0.2">
      <c r="A2748" t="s">
        <v>2474</v>
      </c>
      <c r="B2748" s="1">
        <v>1602367</v>
      </c>
      <c r="C2748" s="1">
        <v>8060</v>
      </c>
      <c r="D2748" s="2">
        <v>42459</v>
      </c>
      <c r="E2748" s="1" t="s">
        <v>42</v>
      </c>
      <c r="F2748" t="str">
        <f>HYPERLINK("http://www.sec.gov/Archives/edgar/data/1602367/0001558370-16-004463-index.html")</f>
        <v>http://www.sec.gov/Archives/edgar/data/1602367/0001558370-16-004463-index.html</v>
      </c>
    </row>
    <row r="2749" spans="1:6" x14ac:dyDescent="0.2">
      <c r="A2749" t="s">
        <v>2475</v>
      </c>
      <c r="B2749" s="1">
        <v>1602481</v>
      </c>
      <c r="C2749" s="1">
        <v>6189</v>
      </c>
      <c r="D2749" s="2">
        <v>42459</v>
      </c>
      <c r="E2749" s="1" t="s">
        <v>18</v>
      </c>
      <c r="F2749" t="str">
        <f>HYPERLINK("http://www.sec.gov/Archives/edgar/data/1602481/0001193125-16-522882-index.html")</f>
        <v>http://www.sec.gov/Archives/edgar/data/1602481/0001193125-16-522882-index.html</v>
      </c>
    </row>
    <row r="2750" spans="1:6" x14ac:dyDescent="0.2">
      <c r="A2750" t="s">
        <v>2476</v>
      </c>
      <c r="B2750" s="1">
        <v>1603480</v>
      </c>
      <c r="C2750" s="1">
        <v>6189</v>
      </c>
      <c r="D2750" s="2">
        <v>42459</v>
      </c>
      <c r="E2750" s="1" t="s">
        <v>18</v>
      </c>
      <c r="F2750" t="str">
        <f>HYPERLINK("http://www.sec.gov/Archives/edgar/data/1603480/0001193125-16-523494-index.html")</f>
        <v>http://www.sec.gov/Archives/edgar/data/1603480/0001193125-16-523494-index.html</v>
      </c>
    </row>
    <row r="2751" spans="1:6" x14ac:dyDescent="0.2">
      <c r="A2751" t="s">
        <v>901</v>
      </c>
      <c r="B2751" s="1">
        <v>1603779</v>
      </c>
      <c r="C2751" s="1">
        <v>6189</v>
      </c>
      <c r="D2751" s="2">
        <v>42459</v>
      </c>
      <c r="E2751" s="1" t="s">
        <v>18</v>
      </c>
      <c r="F2751" t="str">
        <f>HYPERLINK("http://www.sec.gov/Archives/edgar/data/1603779/0001193125-16-522784-index.html")</f>
        <v>http://www.sec.gov/Archives/edgar/data/1603779/0001193125-16-522784-index.html</v>
      </c>
    </row>
    <row r="2752" spans="1:6" x14ac:dyDescent="0.2">
      <c r="A2752" t="s">
        <v>2477</v>
      </c>
      <c r="B2752" s="1">
        <v>1605257</v>
      </c>
      <c r="C2752" s="1">
        <v>6189</v>
      </c>
      <c r="D2752" s="2">
        <v>42459</v>
      </c>
      <c r="E2752" s="1" t="s">
        <v>18</v>
      </c>
      <c r="F2752" t="str">
        <f>HYPERLINK("http://www.sec.gov/Archives/edgar/data/1605257/0001019965-16-000379-index.html")</f>
        <v>http://www.sec.gov/Archives/edgar/data/1605257/0001019965-16-000379-index.html</v>
      </c>
    </row>
    <row r="2753" spans="1:6" x14ac:dyDescent="0.2">
      <c r="A2753" t="s">
        <v>2478</v>
      </c>
      <c r="B2753" s="1">
        <v>1606363</v>
      </c>
      <c r="C2753" s="1">
        <v>6021</v>
      </c>
      <c r="D2753" s="2">
        <v>42459</v>
      </c>
      <c r="E2753" s="1" t="s">
        <v>18</v>
      </c>
      <c r="F2753" t="str">
        <f>HYPERLINK("http://www.sec.gov/Archives/edgar/data/1606363/0001558370-16-004485-index.html")</f>
        <v>http://www.sec.gov/Archives/edgar/data/1606363/0001558370-16-004485-index.html</v>
      </c>
    </row>
    <row r="2754" spans="1:6" x14ac:dyDescent="0.2">
      <c r="A2754" t="s">
        <v>2479</v>
      </c>
      <c r="B2754" s="1">
        <v>1606442</v>
      </c>
      <c r="C2754" s="1">
        <v>6189</v>
      </c>
      <c r="D2754" s="2">
        <v>42459</v>
      </c>
      <c r="E2754" s="1" t="s">
        <v>18</v>
      </c>
      <c r="F2754" t="str">
        <f>HYPERLINK("http://www.sec.gov/Archives/edgar/data/1606442/0001019965-16-000369-index.html")</f>
        <v>http://www.sec.gov/Archives/edgar/data/1606442/0001019965-16-000369-index.html</v>
      </c>
    </row>
    <row r="2755" spans="1:6" x14ac:dyDescent="0.2">
      <c r="A2755" t="s">
        <v>2480</v>
      </c>
      <c r="B2755" s="1">
        <v>1607401</v>
      </c>
      <c r="C2755" s="1">
        <v>6189</v>
      </c>
      <c r="D2755" s="2">
        <v>42459</v>
      </c>
      <c r="E2755" s="1" t="s">
        <v>18</v>
      </c>
      <c r="F2755" t="str">
        <f>HYPERLINK("http://www.sec.gov/Archives/edgar/data/1607401/0001193125-16-523092-index.html")</f>
        <v>http://www.sec.gov/Archives/edgar/data/1607401/0001193125-16-523092-index.html</v>
      </c>
    </row>
    <row r="2756" spans="1:6" x14ac:dyDescent="0.2">
      <c r="A2756" t="s">
        <v>2481</v>
      </c>
      <c r="B2756" s="1">
        <v>1608041</v>
      </c>
      <c r="C2756" s="1">
        <v>6189</v>
      </c>
      <c r="D2756" s="2">
        <v>42459</v>
      </c>
      <c r="E2756" s="1" t="s">
        <v>18</v>
      </c>
      <c r="F2756" t="str">
        <f>HYPERLINK("http://www.sec.gov/Archives/edgar/data/1608041/0001193125-16-522894-index.html")</f>
        <v>http://www.sec.gov/Archives/edgar/data/1608041/0001193125-16-522894-index.html</v>
      </c>
    </row>
    <row r="2757" spans="1:6" x14ac:dyDescent="0.2">
      <c r="A2757" t="s">
        <v>902</v>
      </c>
      <c r="B2757" s="1">
        <v>1609220</v>
      </c>
      <c r="C2757" s="1">
        <v>6189</v>
      </c>
      <c r="D2757" s="2">
        <v>42459</v>
      </c>
      <c r="E2757" s="1" t="s">
        <v>18</v>
      </c>
      <c r="F2757" t="str">
        <f>HYPERLINK("http://www.sec.gov/Archives/edgar/data/1609220/0001193125-16-522858-index.html")</f>
        <v>http://www.sec.gov/Archives/edgar/data/1609220/0001193125-16-522858-index.html</v>
      </c>
    </row>
    <row r="2758" spans="1:6" x14ac:dyDescent="0.2">
      <c r="A2758" t="s">
        <v>2482</v>
      </c>
      <c r="B2758" s="1">
        <v>1609319</v>
      </c>
      <c r="C2758" s="1">
        <v>5810</v>
      </c>
      <c r="D2758" s="2">
        <v>42459</v>
      </c>
      <c r="E2758" s="1" t="s">
        <v>18</v>
      </c>
      <c r="F2758" t="str">
        <f>HYPERLINK("http://www.sec.gov/Archives/edgar/data/1609319/0001193125-16-523726-index.html")</f>
        <v>http://www.sec.gov/Archives/edgar/data/1609319/0001193125-16-523726-index.html</v>
      </c>
    </row>
    <row r="2759" spans="1:6" x14ac:dyDescent="0.2">
      <c r="A2759" t="s">
        <v>2483</v>
      </c>
      <c r="B2759" s="1">
        <v>1609336</v>
      </c>
      <c r="C2759" s="1">
        <v>5810</v>
      </c>
      <c r="D2759" s="2">
        <v>42459</v>
      </c>
      <c r="E2759" s="1" t="s">
        <v>18</v>
      </c>
      <c r="F2759" t="str">
        <f>HYPERLINK("http://www.sec.gov/Archives/edgar/data/1609336/0001609336-16-000093-index.html")</f>
        <v>http://www.sec.gov/Archives/edgar/data/1609336/0001609336-16-000093-index.html</v>
      </c>
    </row>
    <row r="2760" spans="1:6" x14ac:dyDescent="0.2">
      <c r="A2760" t="s">
        <v>2484</v>
      </c>
      <c r="B2760" s="1">
        <v>1612124</v>
      </c>
      <c r="C2760" s="1">
        <v>6189</v>
      </c>
      <c r="D2760" s="2">
        <v>42459</v>
      </c>
      <c r="E2760" s="1" t="s">
        <v>18</v>
      </c>
      <c r="F2760" t="str">
        <f>HYPERLINK("http://www.sec.gov/Archives/edgar/data/1612124/0001193125-16-522542-index.html")</f>
        <v>http://www.sec.gov/Archives/edgar/data/1612124/0001193125-16-522542-index.html</v>
      </c>
    </row>
    <row r="2761" spans="1:6" x14ac:dyDescent="0.2">
      <c r="A2761" t="s">
        <v>2485</v>
      </c>
      <c r="B2761" s="1">
        <v>1612518</v>
      </c>
      <c r="C2761" s="1">
        <v>6189</v>
      </c>
      <c r="D2761" s="2">
        <v>42459</v>
      </c>
      <c r="E2761" s="1" t="s">
        <v>18</v>
      </c>
      <c r="F2761" t="str">
        <f>HYPERLINK("http://www.sec.gov/Archives/edgar/data/1612518/0001193125-16-523669-index.html")</f>
        <v>http://www.sec.gov/Archives/edgar/data/1612518/0001193125-16-523669-index.html</v>
      </c>
    </row>
    <row r="2762" spans="1:6" x14ac:dyDescent="0.2">
      <c r="A2762" t="s">
        <v>2486</v>
      </c>
      <c r="B2762" s="1">
        <v>1613762</v>
      </c>
      <c r="C2762" s="1">
        <v>6189</v>
      </c>
      <c r="D2762" s="2">
        <v>42459</v>
      </c>
      <c r="E2762" s="1" t="s">
        <v>18</v>
      </c>
      <c r="F2762" t="str">
        <f>HYPERLINK("http://www.sec.gov/Archives/edgar/data/1613762/0001193125-16-523169-index.html")</f>
        <v>http://www.sec.gov/Archives/edgar/data/1613762/0001193125-16-523169-index.html</v>
      </c>
    </row>
    <row r="2763" spans="1:6" x14ac:dyDescent="0.2">
      <c r="A2763" t="s">
        <v>2487</v>
      </c>
      <c r="B2763" s="1">
        <v>1613763</v>
      </c>
      <c r="C2763" s="1">
        <v>6189</v>
      </c>
      <c r="D2763" s="2">
        <v>42459</v>
      </c>
      <c r="E2763" s="1" t="s">
        <v>18</v>
      </c>
      <c r="F2763" t="str">
        <f>HYPERLINK("http://www.sec.gov/Archives/edgar/data/1613763/0001193125-16-523159-index.html")</f>
        <v>http://www.sec.gov/Archives/edgar/data/1613763/0001193125-16-523159-index.html</v>
      </c>
    </row>
    <row r="2764" spans="1:6" x14ac:dyDescent="0.2">
      <c r="A2764" t="s">
        <v>2488</v>
      </c>
      <c r="B2764" s="1">
        <v>1613764</v>
      </c>
      <c r="C2764" s="1">
        <v>6189</v>
      </c>
      <c r="D2764" s="2">
        <v>42459</v>
      </c>
      <c r="E2764" s="1" t="s">
        <v>18</v>
      </c>
      <c r="F2764" t="str">
        <f>HYPERLINK("http://www.sec.gov/Archives/edgar/data/1613764/0001193125-16-523120-index.html")</f>
        <v>http://www.sec.gov/Archives/edgar/data/1613764/0001193125-16-523120-index.html</v>
      </c>
    </row>
    <row r="2765" spans="1:6" x14ac:dyDescent="0.2">
      <c r="A2765" t="s">
        <v>2489</v>
      </c>
      <c r="B2765" s="1">
        <v>1613765</v>
      </c>
      <c r="C2765" s="1">
        <v>6189</v>
      </c>
      <c r="D2765" s="2">
        <v>42459</v>
      </c>
      <c r="E2765" s="1" t="s">
        <v>18</v>
      </c>
      <c r="F2765" t="str">
        <f>HYPERLINK("http://www.sec.gov/Archives/edgar/data/1613765/0001193125-16-523121-index.html")</f>
        <v>http://www.sec.gov/Archives/edgar/data/1613765/0001193125-16-523121-index.html</v>
      </c>
    </row>
    <row r="2766" spans="1:6" x14ac:dyDescent="0.2">
      <c r="A2766" t="s">
        <v>2490</v>
      </c>
      <c r="B2766" s="1">
        <v>1613766</v>
      </c>
      <c r="C2766" s="1">
        <v>6189</v>
      </c>
      <c r="D2766" s="2">
        <v>42459</v>
      </c>
      <c r="E2766" s="1" t="s">
        <v>18</v>
      </c>
      <c r="F2766" t="str">
        <f>HYPERLINK("http://www.sec.gov/Archives/edgar/data/1613766/0001193125-16-523131-index.html")</f>
        <v>http://www.sec.gov/Archives/edgar/data/1613766/0001193125-16-523131-index.html</v>
      </c>
    </row>
    <row r="2767" spans="1:6" x14ac:dyDescent="0.2">
      <c r="A2767" t="s">
        <v>2491</v>
      </c>
      <c r="B2767" s="1">
        <v>1613767</v>
      </c>
      <c r="C2767" s="1">
        <v>6189</v>
      </c>
      <c r="D2767" s="2">
        <v>42459</v>
      </c>
      <c r="E2767" s="1" t="s">
        <v>18</v>
      </c>
      <c r="F2767" t="str">
        <f>HYPERLINK("http://www.sec.gov/Archives/edgar/data/1613767/0001193125-16-523155-index.html")</f>
        <v>http://www.sec.gov/Archives/edgar/data/1613767/0001193125-16-523155-index.html</v>
      </c>
    </row>
    <row r="2768" spans="1:6" x14ac:dyDescent="0.2">
      <c r="A2768" t="s">
        <v>2492</v>
      </c>
      <c r="B2768" s="1">
        <v>1615222</v>
      </c>
      <c r="C2768" s="1">
        <v>6798</v>
      </c>
      <c r="D2768" s="2">
        <v>42459</v>
      </c>
      <c r="E2768" s="1" t="s">
        <v>18</v>
      </c>
      <c r="F2768" t="str">
        <f>HYPERLINK("http://www.sec.gov/Archives/edgar/data/1615222/0001387131-16-004805-index.html")</f>
        <v>http://www.sec.gov/Archives/edgar/data/1615222/0001387131-16-004805-index.html</v>
      </c>
    </row>
    <row r="2769" spans="1:6" x14ac:dyDescent="0.2">
      <c r="A2769" t="s">
        <v>2493</v>
      </c>
      <c r="B2769" s="1">
        <v>1616280</v>
      </c>
      <c r="C2769" s="1">
        <v>6189</v>
      </c>
      <c r="D2769" s="2">
        <v>42459</v>
      </c>
      <c r="E2769" s="1" t="s">
        <v>18</v>
      </c>
      <c r="F2769" t="str">
        <f>HYPERLINK("http://www.sec.gov/Archives/edgar/data/1616280/0001193125-16-522903-index.html")</f>
        <v>http://www.sec.gov/Archives/edgar/data/1616280/0001193125-16-522903-index.html</v>
      </c>
    </row>
    <row r="2770" spans="1:6" x14ac:dyDescent="0.2">
      <c r="A2770" t="s">
        <v>903</v>
      </c>
      <c r="B2770" s="1">
        <v>1616997</v>
      </c>
      <c r="C2770" s="1">
        <v>6189</v>
      </c>
      <c r="D2770" s="2">
        <v>42459</v>
      </c>
      <c r="E2770" s="1" t="s">
        <v>18</v>
      </c>
      <c r="F2770" t="str">
        <f>HYPERLINK("http://www.sec.gov/Archives/edgar/data/1616997/0001193125-16-522789-index.html")</f>
        <v>http://www.sec.gov/Archives/edgar/data/1616997/0001193125-16-522789-index.html</v>
      </c>
    </row>
    <row r="2771" spans="1:6" x14ac:dyDescent="0.2">
      <c r="A2771" t="s">
        <v>2494</v>
      </c>
      <c r="B2771" s="1">
        <v>1617227</v>
      </c>
      <c r="C2771" s="1">
        <v>5812</v>
      </c>
      <c r="D2771" s="2">
        <v>42459</v>
      </c>
      <c r="E2771" s="1" t="s">
        <v>18</v>
      </c>
      <c r="F2771" t="str">
        <f>HYPERLINK("http://www.sec.gov/Archives/edgar/data/1617227/0001564590-16-015611-index.html")</f>
        <v>http://www.sec.gov/Archives/edgar/data/1617227/0001564590-16-015611-index.html</v>
      </c>
    </row>
    <row r="2772" spans="1:6" x14ac:dyDescent="0.2">
      <c r="A2772" t="s">
        <v>2495</v>
      </c>
      <c r="B2772" s="1">
        <v>1617760</v>
      </c>
      <c r="C2772" s="1">
        <v>6189</v>
      </c>
      <c r="D2772" s="2">
        <v>42459</v>
      </c>
      <c r="E2772" s="1" t="s">
        <v>18</v>
      </c>
      <c r="F2772" t="str">
        <f>HYPERLINK("http://www.sec.gov/Archives/edgar/data/1617760/0001019965-16-000372-index.html")</f>
        <v>http://www.sec.gov/Archives/edgar/data/1617760/0001019965-16-000372-index.html</v>
      </c>
    </row>
    <row r="2773" spans="1:6" x14ac:dyDescent="0.2">
      <c r="A2773" t="s">
        <v>2496</v>
      </c>
      <c r="B2773" s="1">
        <v>1619174</v>
      </c>
      <c r="C2773" s="1">
        <v>7374</v>
      </c>
      <c r="D2773" s="2">
        <v>42459</v>
      </c>
      <c r="E2773" s="1" t="s">
        <v>18</v>
      </c>
      <c r="F2773" t="str">
        <f>HYPERLINK("http://www.sec.gov/Archives/edgar/data/1619174/0001078782-16-002547-index.html")</f>
        <v>http://www.sec.gov/Archives/edgar/data/1619174/0001078782-16-002547-index.html</v>
      </c>
    </row>
    <row r="2774" spans="1:6" x14ac:dyDescent="0.2">
      <c r="A2774" t="s">
        <v>2497</v>
      </c>
      <c r="B2774" s="1">
        <v>1619616</v>
      </c>
      <c r="C2774" s="1">
        <v>6189</v>
      </c>
      <c r="D2774" s="2">
        <v>42459</v>
      </c>
      <c r="E2774" s="1" t="s">
        <v>18</v>
      </c>
      <c r="F2774" t="str">
        <f>HYPERLINK("http://www.sec.gov/Archives/edgar/data/1619616/0001193125-16-523702-index.html")</f>
        <v>http://www.sec.gov/Archives/edgar/data/1619616/0001193125-16-523702-index.html</v>
      </c>
    </row>
    <row r="2775" spans="1:6" x14ac:dyDescent="0.2">
      <c r="A2775" t="s">
        <v>2498</v>
      </c>
      <c r="B2775" s="1">
        <v>1620533</v>
      </c>
      <c r="C2775" s="1">
        <v>5810</v>
      </c>
      <c r="D2775" s="2">
        <v>42459</v>
      </c>
      <c r="E2775" s="1" t="s">
        <v>18</v>
      </c>
      <c r="F2775" t="str">
        <f>HYPERLINK("http://www.sec.gov/Archives/edgar/data/1620533/0001620533-16-000187-index.html")</f>
        <v>http://www.sec.gov/Archives/edgar/data/1620533/0001620533-16-000187-index.html</v>
      </c>
    </row>
    <row r="2776" spans="1:6" x14ac:dyDescent="0.2">
      <c r="A2776" t="s">
        <v>904</v>
      </c>
      <c r="B2776" s="1">
        <v>1622117</v>
      </c>
      <c r="C2776" s="1">
        <v>6189</v>
      </c>
      <c r="D2776" s="2">
        <v>42459</v>
      </c>
      <c r="E2776" s="1" t="s">
        <v>18</v>
      </c>
      <c r="F2776" t="str">
        <f>HYPERLINK("http://www.sec.gov/Archives/edgar/data/1622117/0001193125-16-522836-index.html")</f>
        <v>http://www.sec.gov/Archives/edgar/data/1622117/0001193125-16-522836-index.html</v>
      </c>
    </row>
    <row r="2777" spans="1:6" x14ac:dyDescent="0.2">
      <c r="A2777" t="s">
        <v>2499</v>
      </c>
      <c r="B2777" s="1">
        <v>1622822</v>
      </c>
      <c r="C2777" s="1">
        <v>7374</v>
      </c>
      <c r="D2777" s="2">
        <v>42459</v>
      </c>
      <c r="E2777" s="1" t="s">
        <v>18</v>
      </c>
      <c r="F2777" t="str">
        <f>HYPERLINK("http://www.sec.gov/Archives/edgar/data/1622822/0001213900-16-012076-index.html")</f>
        <v>http://www.sec.gov/Archives/edgar/data/1622822/0001213900-16-012076-index.html</v>
      </c>
    </row>
    <row r="2778" spans="1:6" x14ac:dyDescent="0.2">
      <c r="A2778" t="s">
        <v>2500</v>
      </c>
      <c r="B2778" s="1">
        <v>1622893</v>
      </c>
      <c r="C2778" s="1">
        <v>2711</v>
      </c>
      <c r="D2778" s="2">
        <v>42459</v>
      </c>
      <c r="E2778" s="1" t="s">
        <v>18</v>
      </c>
      <c r="F2778" t="str">
        <f>HYPERLINK("http://www.sec.gov/Archives/edgar/data/1622893/0001628280-16-013919-index.html")</f>
        <v>http://www.sec.gov/Archives/edgar/data/1622893/0001628280-16-013919-index.html</v>
      </c>
    </row>
    <row r="2779" spans="1:6" x14ac:dyDescent="0.2">
      <c r="A2779" t="s">
        <v>2501</v>
      </c>
      <c r="B2779" s="1">
        <v>1623518</v>
      </c>
      <c r="C2779" s="1">
        <v>6189</v>
      </c>
      <c r="D2779" s="2">
        <v>42459</v>
      </c>
      <c r="E2779" s="1" t="s">
        <v>18</v>
      </c>
      <c r="F2779" t="str">
        <f>HYPERLINK("http://www.sec.gov/Archives/edgar/data/1623518/0001193125-16-523154-index.html")</f>
        <v>http://www.sec.gov/Archives/edgar/data/1623518/0001193125-16-523154-index.html</v>
      </c>
    </row>
    <row r="2780" spans="1:6" x14ac:dyDescent="0.2">
      <c r="A2780" t="s">
        <v>2502</v>
      </c>
      <c r="B2780" s="1">
        <v>1623595</v>
      </c>
      <c r="C2780" s="1">
        <v>1311</v>
      </c>
      <c r="D2780" s="2">
        <v>42459</v>
      </c>
      <c r="E2780" s="1" t="s">
        <v>18</v>
      </c>
      <c r="F2780" t="str">
        <f>HYPERLINK("http://www.sec.gov/Archives/edgar/data/1623595/0001564590-16-015676-index.html")</f>
        <v>http://www.sec.gov/Archives/edgar/data/1623595/0001564590-16-015676-index.html</v>
      </c>
    </row>
    <row r="2781" spans="1:6" x14ac:dyDescent="0.2">
      <c r="A2781" t="s">
        <v>2503</v>
      </c>
      <c r="B2781" s="1">
        <v>1623916</v>
      </c>
      <c r="C2781" s="1">
        <v>6189</v>
      </c>
      <c r="D2781" s="2">
        <v>42459</v>
      </c>
      <c r="E2781" s="1" t="s">
        <v>18</v>
      </c>
      <c r="F2781" t="str">
        <f>HYPERLINK("http://www.sec.gov/Archives/edgar/data/1623916/0001056404-16-003849-index.html")</f>
        <v>http://www.sec.gov/Archives/edgar/data/1623916/0001056404-16-003849-index.html</v>
      </c>
    </row>
    <row r="2782" spans="1:6" x14ac:dyDescent="0.2">
      <c r="A2782" t="s">
        <v>2504</v>
      </c>
      <c r="B2782" s="1">
        <v>1624985</v>
      </c>
      <c r="C2782" s="1">
        <v>6531</v>
      </c>
      <c r="D2782" s="2">
        <v>42459</v>
      </c>
      <c r="E2782" s="1" t="s">
        <v>18</v>
      </c>
      <c r="F2782" t="str">
        <f>HYPERLINK("http://www.sec.gov/Archives/edgar/data/1624985/0001014897-16-000482-index.html")</f>
        <v>http://www.sec.gov/Archives/edgar/data/1624985/0001014897-16-000482-index.html</v>
      </c>
    </row>
    <row r="2783" spans="1:6" x14ac:dyDescent="0.2">
      <c r="A2783" t="s">
        <v>2505</v>
      </c>
      <c r="B2783" s="1">
        <v>1626878</v>
      </c>
      <c r="C2783" s="1">
        <v>2834</v>
      </c>
      <c r="D2783" s="2">
        <v>42459</v>
      </c>
      <c r="E2783" s="1" t="s">
        <v>18</v>
      </c>
      <c r="F2783" t="str">
        <f>HYPERLINK("http://www.sec.gov/Archives/edgar/data/1626878/0001171843-16-008925-index.html")</f>
        <v>http://www.sec.gov/Archives/edgar/data/1626878/0001171843-16-008925-index.html</v>
      </c>
    </row>
    <row r="2784" spans="1:6" x14ac:dyDescent="0.2">
      <c r="A2784" t="s">
        <v>2506</v>
      </c>
      <c r="B2784" s="1">
        <v>1626937</v>
      </c>
      <c r="C2784" s="1">
        <v>6189</v>
      </c>
      <c r="D2784" s="2">
        <v>42459</v>
      </c>
      <c r="E2784" s="1" t="s">
        <v>18</v>
      </c>
      <c r="F2784" t="str">
        <f>HYPERLINK("http://www.sec.gov/Archives/edgar/data/1626937/0001193125-16-522909-index.html")</f>
        <v>http://www.sec.gov/Archives/edgar/data/1626937/0001193125-16-522909-index.html</v>
      </c>
    </row>
    <row r="2785" spans="1:6" x14ac:dyDescent="0.2">
      <c r="A2785" t="s">
        <v>2507</v>
      </c>
      <c r="B2785" s="1">
        <v>1627487</v>
      </c>
      <c r="C2785" s="1">
        <v>5812</v>
      </c>
      <c r="D2785" s="2">
        <v>42459</v>
      </c>
      <c r="E2785" s="1" t="s">
        <v>18</v>
      </c>
      <c r="F2785" t="str">
        <f>HYPERLINK("http://www.sec.gov/Archives/edgar/data/1627487/0001564590-16-015671-index.html")</f>
        <v>http://www.sec.gov/Archives/edgar/data/1627487/0001564590-16-015671-index.html</v>
      </c>
    </row>
    <row r="2786" spans="1:6" x14ac:dyDescent="0.2">
      <c r="A2786" t="s">
        <v>2508</v>
      </c>
      <c r="B2786" s="1">
        <v>1629069</v>
      </c>
      <c r="C2786" s="1">
        <v>6189</v>
      </c>
      <c r="D2786" s="2">
        <v>42459</v>
      </c>
      <c r="E2786" s="1" t="s">
        <v>18</v>
      </c>
      <c r="F2786" t="str">
        <f>HYPERLINK("http://www.sec.gov/Archives/edgar/data/1629069/0001056404-16-003853-index.html")</f>
        <v>http://www.sec.gov/Archives/edgar/data/1629069/0001056404-16-003853-index.html</v>
      </c>
    </row>
    <row r="2787" spans="1:6" x14ac:dyDescent="0.2">
      <c r="A2787" t="s">
        <v>2509</v>
      </c>
      <c r="B2787" s="1">
        <v>1629716</v>
      </c>
      <c r="C2787" s="1">
        <v>6189</v>
      </c>
      <c r="D2787" s="2">
        <v>42459</v>
      </c>
      <c r="E2787" s="1" t="s">
        <v>18</v>
      </c>
      <c r="F2787" t="str">
        <f>HYPERLINK("http://www.sec.gov/Archives/edgar/data/1629716/0001193125-16-523677-index.html")</f>
        <v>http://www.sec.gov/Archives/edgar/data/1629716/0001193125-16-523677-index.html</v>
      </c>
    </row>
    <row r="2788" spans="1:6" x14ac:dyDescent="0.2">
      <c r="A2788" t="s">
        <v>2510</v>
      </c>
      <c r="B2788" s="1">
        <v>1630176</v>
      </c>
      <c r="C2788" s="1">
        <v>7374</v>
      </c>
      <c r="D2788" s="2">
        <v>42459</v>
      </c>
      <c r="E2788" s="1" t="s">
        <v>18</v>
      </c>
      <c r="F2788" t="str">
        <f>HYPERLINK("http://www.sec.gov/Archives/edgar/data/1630176/0001520138-16-000803-index.html")</f>
        <v>http://www.sec.gov/Archives/edgar/data/1630176/0001520138-16-000803-index.html</v>
      </c>
    </row>
    <row r="2789" spans="1:6" x14ac:dyDescent="0.2">
      <c r="A2789" t="s">
        <v>2511</v>
      </c>
      <c r="B2789" s="1">
        <v>1631406</v>
      </c>
      <c r="C2789" s="1">
        <v>6189</v>
      </c>
      <c r="D2789" s="2">
        <v>42459</v>
      </c>
      <c r="E2789" s="1" t="s">
        <v>18</v>
      </c>
      <c r="F2789" t="str">
        <f>HYPERLINK("http://www.sec.gov/Archives/edgar/data/1631406/0001056404-16-003869-index.html")</f>
        <v>http://www.sec.gov/Archives/edgar/data/1631406/0001056404-16-003869-index.html</v>
      </c>
    </row>
    <row r="2790" spans="1:6" x14ac:dyDescent="0.2">
      <c r="A2790" t="s">
        <v>2512</v>
      </c>
      <c r="B2790" s="1">
        <v>1631574</v>
      </c>
      <c r="C2790" s="1">
        <v>2834</v>
      </c>
      <c r="D2790" s="2">
        <v>42459</v>
      </c>
      <c r="E2790" s="1" t="s">
        <v>18</v>
      </c>
      <c r="F2790" t="str">
        <f>HYPERLINK("http://www.sec.gov/Archives/edgar/data/1631574/0001193125-16-523890-index.html")</f>
        <v>http://www.sec.gov/Archives/edgar/data/1631574/0001193125-16-523890-index.html</v>
      </c>
    </row>
    <row r="2791" spans="1:6" x14ac:dyDescent="0.2">
      <c r="A2791" t="s">
        <v>1194</v>
      </c>
      <c r="B2791" s="1">
        <v>1631989</v>
      </c>
      <c r="C2791" s="1">
        <v>6189</v>
      </c>
      <c r="D2791" s="2">
        <v>42459</v>
      </c>
      <c r="E2791" s="1" t="s">
        <v>18</v>
      </c>
      <c r="F2791" t="str">
        <f>HYPERLINK("http://www.sec.gov/Archives/edgar/data/1631989/0001193125-16-523453-index.html")</f>
        <v>http://www.sec.gov/Archives/edgar/data/1631989/0001193125-16-523453-index.html</v>
      </c>
    </row>
    <row r="2792" spans="1:6" x14ac:dyDescent="0.2">
      <c r="A2792" t="s">
        <v>905</v>
      </c>
      <c r="B2792" s="1">
        <v>1632092</v>
      </c>
      <c r="C2792" s="1">
        <v>6189</v>
      </c>
      <c r="D2792" s="2">
        <v>42459</v>
      </c>
      <c r="E2792" s="1" t="s">
        <v>18</v>
      </c>
      <c r="F2792" t="str">
        <f>HYPERLINK("http://www.sec.gov/Archives/edgar/data/1632092/0001193125-16-522902-index.html")</f>
        <v>http://www.sec.gov/Archives/edgar/data/1632092/0001193125-16-522902-index.html</v>
      </c>
    </row>
    <row r="2793" spans="1:6" x14ac:dyDescent="0.2">
      <c r="A2793" t="s">
        <v>2513</v>
      </c>
      <c r="B2793" s="1">
        <v>1633023</v>
      </c>
      <c r="C2793" s="1">
        <v>6189</v>
      </c>
      <c r="D2793" s="2">
        <v>42459</v>
      </c>
      <c r="E2793" s="1" t="s">
        <v>18</v>
      </c>
      <c r="F2793" t="str">
        <f>HYPERLINK("http://www.sec.gov/Archives/edgar/data/1633023/0001193125-16-523174-index.html")</f>
        <v>http://www.sec.gov/Archives/edgar/data/1633023/0001193125-16-523174-index.html</v>
      </c>
    </row>
    <row r="2794" spans="1:6" x14ac:dyDescent="0.2">
      <c r="A2794" t="s">
        <v>2514</v>
      </c>
      <c r="B2794" s="1">
        <v>1633933</v>
      </c>
      <c r="C2794" s="1">
        <v>6189</v>
      </c>
      <c r="D2794" s="2">
        <v>42459</v>
      </c>
      <c r="E2794" s="1" t="s">
        <v>18</v>
      </c>
      <c r="F2794" t="str">
        <f>HYPERLINK("http://www.sec.gov/Archives/edgar/data/1633933/0001193125-16-522926-index.html")</f>
        <v>http://www.sec.gov/Archives/edgar/data/1633933/0001193125-16-522926-index.html</v>
      </c>
    </row>
    <row r="2795" spans="1:6" x14ac:dyDescent="0.2">
      <c r="A2795" t="s">
        <v>2515</v>
      </c>
      <c r="B2795" s="1">
        <v>1634421</v>
      </c>
      <c r="C2795" s="1">
        <v>6770</v>
      </c>
      <c r="D2795" s="2">
        <v>42459</v>
      </c>
      <c r="E2795" s="1" t="s">
        <v>18</v>
      </c>
      <c r="F2795" t="str">
        <f>HYPERLINK("http://www.sec.gov/Archives/edgar/data/1634421/0001144204-16-091046-index.html")</f>
        <v>http://www.sec.gov/Archives/edgar/data/1634421/0001144204-16-091046-index.html</v>
      </c>
    </row>
    <row r="2796" spans="1:6" x14ac:dyDescent="0.2">
      <c r="A2796" t="s">
        <v>2516</v>
      </c>
      <c r="B2796" s="1">
        <v>1635484</v>
      </c>
      <c r="C2796" s="1">
        <v>6035</v>
      </c>
      <c r="D2796" s="2">
        <v>42459</v>
      </c>
      <c r="E2796" s="1" t="s">
        <v>18</v>
      </c>
      <c r="F2796" t="str">
        <f>HYPERLINK("http://www.sec.gov/Archives/edgar/data/1635484/0001144204-16-091241-index.html")</f>
        <v>http://www.sec.gov/Archives/edgar/data/1635484/0001144204-16-091241-index.html</v>
      </c>
    </row>
    <row r="2797" spans="1:6" x14ac:dyDescent="0.2">
      <c r="A2797" t="s">
        <v>2517</v>
      </c>
      <c r="B2797" s="1">
        <v>1636459</v>
      </c>
      <c r="C2797" s="1">
        <v>6189</v>
      </c>
      <c r="D2797" s="2">
        <v>42459</v>
      </c>
      <c r="E2797" s="1" t="s">
        <v>18</v>
      </c>
      <c r="F2797" t="str">
        <f>HYPERLINK("http://www.sec.gov/Archives/edgar/data/1636459/0001193125-16-523175-index.html")</f>
        <v>http://www.sec.gov/Archives/edgar/data/1636459/0001193125-16-523175-index.html</v>
      </c>
    </row>
    <row r="2798" spans="1:6" x14ac:dyDescent="0.2">
      <c r="A2798" t="s">
        <v>2518</v>
      </c>
      <c r="B2798" s="1">
        <v>1636513</v>
      </c>
      <c r="C2798" s="1">
        <v>6189</v>
      </c>
      <c r="D2798" s="2">
        <v>42459</v>
      </c>
      <c r="E2798" s="1" t="s">
        <v>18</v>
      </c>
      <c r="F2798" t="str">
        <f>HYPERLINK("http://www.sec.gov/Archives/edgar/data/1636513/0001056404-16-003855-index.html")</f>
        <v>http://www.sec.gov/Archives/edgar/data/1636513/0001056404-16-003855-index.html</v>
      </c>
    </row>
    <row r="2799" spans="1:6" x14ac:dyDescent="0.2">
      <c r="A2799" t="s">
        <v>2519</v>
      </c>
      <c r="B2799" s="1">
        <v>1636708</v>
      </c>
      <c r="C2799" s="1">
        <v>6189</v>
      </c>
      <c r="D2799" s="2">
        <v>42459</v>
      </c>
      <c r="E2799" s="1" t="s">
        <v>18</v>
      </c>
      <c r="F2799" t="str">
        <f>HYPERLINK("http://www.sec.gov/Archives/edgar/data/1636708/0001193125-16-523659-index.html")</f>
        <v>http://www.sec.gov/Archives/edgar/data/1636708/0001193125-16-523659-index.html</v>
      </c>
    </row>
    <row r="2800" spans="1:6" x14ac:dyDescent="0.2">
      <c r="A2800" t="s">
        <v>907</v>
      </c>
      <c r="B2800" s="1">
        <v>1638606</v>
      </c>
      <c r="C2800" s="1">
        <v>6189</v>
      </c>
      <c r="D2800" s="2">
        <v>42459</v>
      </c>
      <c r="E2800" s="1" t="s">
        <v>18</v>
      </c>
      <c r="F2800" t="str">
        <f>HYPERLINK("http://www.sec.gov/Archives/edgar/data/1638606/0001193125-16-522992-index.html")</f>
        <v>http://www.sec.gov/Archives/edgar/data/1638606/0001193125-16-522992-index.html</v>
      </c>
    </row>
    <row r="2801" spans="1:6" x14ac:dyDescent="0.2">
      <c r="A2801" t="s">
        <v>2520</v>
      </c>
      <c r="B2801" s="1">
        <v>1639068</v>
      </c>
      <c r="C2801" s="1">
        <v>8742</v>
      </c>
      <c r="D2801" s="2">
        <v>42459</v>
      </c>
      <c r="E2801" s="1" t="s">
        <v>18</v>
      </c>
      <c r="F2801" t="str">
        <f>HYPERLINK("http://www.sec.gov/Archives/edgar/data/1639068/0001493152-16-008443-index.html")</f>
        <v>http://www.sec.gov/Archives/edgar/data/1639068/0001493152-16-008443-index.html</v>
      </c>
    </row>
    <row r="2802" spans="1:6" x14ac:dyDescent="0.2">
      <c r="A2802" t="s">
        <v>2521</v>
      </c>
      <c r="B2802" s="1">
        <v>1640384</v>
      </c>
      <c r="C2802" s="1">
        <v>6199</v>
      </c>
      <c r="D2802" s="2">
        <v>42459</v>
      </c>
      <c r="E2802" s="1" t="s">
        <v>18</v>
      </c>
      <c r="F2802" t="str">
        <f>HYPERLINK("http://www.sec.gov/Archives/edgar/data/1640384/0001564590-16-015681-index.html")</f>
        <v>http://www.sec.gov/Archives/edgar/data/1640384/0001564590-16-015681-index.html</v>
      </c>
    </row>
    <row r="2803" spans="1:6" x14ac:dyDescent="0.2">
      <c r="A2803" t="s">
        <v>2522</v>
      </c>
      <c r="B2803" s="1">
        <v>1640775</v>
      </c>
      <c r="C2803" s="1">
        <v>6189</v>
      </c>
      <c r="D2803" s="2">
        <v>42459</v>
      </c>
      <c r="E2803" s="1" t="s">
        <v>18</v>
      </c>
      <c r="F2803" t="str">
        <f>HYPERLINK("http://www.sec.gov/Archives/edgar/data/1640775/0001056404-16-003857-index.html")</f>
        <v>http://www.sec.gov/Archives/edgar/data/1640775/0001056404-16-003857-index.html</v>
      </c>
    </row>
    <row r="2804" spans="1:6" x14ac:dyDescent="0.2">
      <c r="A2804" t="s">
        <v>2523</v>
      </c>
      <c r="B2804" s="1">
        <v>1641197</v>
      </c>
      <c r="C2804" s="1">
        <v>6770</v>
      </c>
      <c r="D2804" s="2">
        <v>42459</v>
      </c>
      <c r="E2804" s="1" t="s">
        <v>18</v>
      </c>
      <c r="F2804" t="str">
        <f>HYPERLINK("http://www.sec.gov/Archives/edgar/data/1641197/0001144204-16-091612-index.html")</f>
        <v>http://www.sec.gov/Archives/edgar/data/1641197/0001144204-16-091612-index.html</v>
      </c>
    </row>
    <row r="2805" spans="1:6" x14ac:dyDescent="0.2">
      <c r="A2805" t="s">
        <v>2524</v>
      </c>
      <c r="B2805" s="1">
        <v>1641623</v>
      </c>
      <c r="C2805" s="1">
        <v>6189</v>
      </c>
      <c r="D2805" s="2">
        <v>42459</v>
      </c>
      <c r="E2805" s="1" t="s">
        <v>18</v>
      </c>
      <c r="F2805" t="str">
        <f>HYPERLINK("http://www.sec.gov/Archives/edgar/data/1641623/0001193125-16-523186-index.html")</f>
        <v>http://www.sec.gov/Archives/edgar/data/1641623/0001193125-16-523186-index.html</v>
      </c>
    </row>
    <row r="2806" spans="1:6" x14ac:dyDescent="0.2">
      <c r="A2806" t="s">
        <v>2525</v>
      </c>
      <c r="B2806" s="1">
        <v>1642159</v>
      </c>
      <c r="C2806" s="1">
        <v>5944</v>
      </c>
      <c r="D2806" s="2">
        <v>42459</v>
      </c>
      <c r="E2806" s="1" t="s">
        <v>18</v>
      </c>
      <c r="F2806" t="str">
        <f>HYPERLINK("http://www.sec.gov/Archives/edgar/data/1642159/0001615774-16-004714-index.html")</f>
        <v>http://www.sec.gov/Archives/edgar/data/1642159/0001615774-16-004714-index.html</v>
      </c>
    </row>
    <row r="2807" spans="1:6" x14ac:dyDescent="0.2">
      <c r="A2807" t="s">
        <v>1415</v>
      </c>
      <c r="B2807" s="1">
        <v>1642380</v>
      </c>
      <c r="C2807" s="1">
        <v>2835</v>
      </c>
      <c r="D2807" s="2">
        <v>42459</v>
      </c>
      <c r="E2807" s="1" t="s">
        <v>18</v>
      </c>
      <c r="F2807" t="str">
        <f>HYPERLINK("http://www.sec.gov/Archives/edgar/data/1642380/0001140361-16-059543-index.html")</f>
        <v>http://www.sec.gov/Archives/edgar/data/1642380/0001140361-16-059543-index.html</v>
      </c>
    </row>
    <row r="2808" spans="1:6" x14ac:dyDescent="0.2">
      <c r="A2808" t="s">
        <v>2526</v>
      </c>
      <c r="B2808" s="1">
        <v>1642727</v>
      </c>
      <c r="C2808" s="1">
        <v>6189</v>
      </c>
      <c r="D2808" s="2">
        <v>42459</v>
      </c>
      <c r="E2808" s="1" t="s">
        <v>18</v>
      </c>
      <c r="F2808" t="str">
        <f>HYPERLINK("http://www.sec.gov/Archives/edgar/data/1642727/0001056404-16-003863-index.html")</f>
        <v>http://www.sec.gov/Archives/edgar/data/1642727/0001056404-16-003863-index.html</v>
      </c>
    </row>
    <row r="2809" spans="1:6" x14ac:dyDescent="0.2">
      <c r="A2809" t="s">
        <v>2527</v>
      </c>
      <c r="B2809" s="1">
        <v>1643102</v>
      </c>
      <c r="C2809" s="1">
        <v>6189</v>
      </c>
      <c r="D2809" s="2">
        <v>42459</v>
      </c>
      <c r="E2809" s="1" t="s">
        <v>18</v>
      </c>
      <c r="F2809" t="str">
        <f>HYPERLINK("http://www.sec.gov/Archives/edgar/data/1643102/0001193125-16-522935-index.html")</f>
        <v>http://www.sec.gov/Archives/edgar/data/1643102/0001193125-16-522935-index.html</v>
      </c>
    </row>
    <row r="2810" spans="1:6" x14ac:dyDescent="0.2">
      <c r="A2810" t="s">
        <v>908</v>
      </c>
      <c r="B2810" s="1">
        <v>1643202</v>
      </c>
      <c r="C2810" s="1">
        <v>6189</v>
      </c>
      <c r="D2810" s="2">
        <v>42459</v>
      </c>
      <c r="E2810" s="1" t="s">
        <v>18</v>
      </c>
      <c r="F2810" t="str">
        <f>HYPERLINK("http://www.sec.gov/Archives/edgar/data/1643202/0001193125-16-522878-index.html")</f>
        <v>http://www.sec.gov/Archives/edgar/data/1643202/0001193125-16-522878-index.html</v>
      </c>
    </row>
    <row r="2811" spans="1:6" x14ac:dyDescent="0.2">
      <c r="A2811" t="s">
        <v>2528</v>
      </c>
      <c r="B2811" s="1">
        <v>1643319</v>
      </c>
      <c r="C2811" s="1">
        <v>5020</v>
      </c>
      <c r="D2811" s="2">
        <v>42459</v>
      </c>
      <c r="E2811" s="1" t="s">
        <v>18</v>
      </c>
      <c r="F2811" t="str">
        <f>HYPERLINK("http://www.sec.gov/Archives/edgar/data/1643319/0001477932-16-009267-index.html")</f>
        <v>http://www.sec.gov/Archives/edgar/data/1643319/0001477932-16-009267-index.html</v>
      </c>
    </row>
    <row r="2812" spans="1:6" x14ac:dyDescent="0.2">
      <c r="A2812" t="s">
        <v>2529</v>
      </c>
      <c r="B2812" s="1">
        <v>1643661</v>
      </c>
      <c r="C2812" s="1">
        <v>6189</v>
      </c>
      <c r="D2812" s="2">
        <v>42459</v>
      </c>
      <c r="E2812" s="1" t="s">
        <v>18</v>
      </c>
      <c r="F2812" t="str">
        <f>HYPERLINK("http://www.sec.gov/Archives/edgar/data/1643661/0001193125-16-523629-index.html")</f>
        <v>http://www.sec.gov/Archives/edgar/data/1643661/0001193125-16-523629-index.html</v>
      </c>
    </row>
    <row r="2813" spans="1:6" x14ac:dyDescent="0.2">
      <c r="A2813" t="s">
        <v>2530</v>
      </c>
      <c r="B2813" s="1">
        <v>1644440</v>
      </c>
      <c r="C2813" s="1">
        <v>2800</v>
      </c>
      <c r="D2813" s="2">
        <v>42459</v>
      </c>
      <c r="E2813" s="1" t="s">
        <v>18</v>
      </c>
      <c r="F2813" t="str">
        <f>HYPERLINK("http://www.sec.gov/Archives/edgar/data/1644440/0001644440-16-000174-index.html")</f>
        <v>http://www.sec.gov/Archives/edgar/data/1644440/0001644440-16-000174-index.html</v>
      </c>
    </row>
    <row r="2814" spans="1:6" x14ac:dyDescent="0.2">
      <c r="A2814" t="s">
        <v>2531</v>
      </c>
      <c r="B2814" s="1">
        <v>1644482</v>
      </c>
      <c r="C2814" s="1">
        <v>6035</v>
      </c>
      <c r="D2814" s="2">
        <v>42459</v>
      </c>
      <c r="E2814" s="1" t="s">
        <v>18</v>
      </c>
      <c r="F2814" t="str">
        <f>HYPERLINK("http://www.sec.gov/Archives/edgar/data/1644482/0001437749-16-028666-index.html")</f>
        <v>http://www.sec.gov/Archives/edgar/data/1644482/0001437749-16-028666-index.html</v>
      </c>
    </row>
    <row r="2815" spans="1:6" x14ac:dyDescent="0.2">
      <c r="A2815" t="s">
        <v>2532</v>
      </c>
      <c r="B2815" s="1">
        <v>1646587</v>
      </c>
      <c r="C2815" s="1">
        <v>6798</v>
      </c>
      <c r="D2815" s="2">
        <v>42459</v>
      </c>
      <c r="E2815" s="1" t="s">
        <v>18</v>
      </c>
      <c r="F2815" t="str">
        <f>HYPERLINK("http://www.sec.gov/Archives/edgar/data/1646587/0001646587-16-000065-index.html")</f>
        <v>http://www.sec.gov/Archives/edgar/data/1646587/0001646587-16-000065-index.html</v>
      </c>
    </row>
    <row r="2816" spans="1:6" x14ac:dyDescent="0.2">
      <c r="A2816" t="s">
        <v>2533</v>
      </c>
      <c r="B2816" s="1">
        <v>1646829</v>
      </c>
      <c r="C2816" s="1">
        <v>6189</v>
      </c>
      <c r="D2816" s="2">
        <v>42459</v>
      </c>
      <c r="E2816" s="1" t="s">
        <v>18</v>
      </c>
      <c r="F2816" t="str">
        <f>HYPERLINK("http://www.sec.gov/Archives/edgar/data/1646829/0000930413-16-006268-index.html")</f>
        <v>http://www.sec.gov/Archives/edgar/data/1646829/0000930413-16-006268-index.html</v>
      </c>
    </row>
    <row r="2817" spans="1:6" x14ac:dyDescent="0.2">
      <c r="A2817" t="s">
        <v>2534</v>
      </c>
      <c r="B2817" s="1">
        <v>1646924</v>
      </c>
      <c r="C2817" s="1">
        <v>6189</v>
      </c>
      <c r="D2817" s="2">
        <v>42459</v>
      </c>
      <c r="E2817" s="1" t="s">
        <v>18</v>
      </c>
      <c r="F2817" t="str">
        <f>HYPERLINK("http://www.sec.gov/Archives/edgar/data/1646924/0001056404-16-003861-index.html")</f>
        <v>http://www.sec.gov/Archives/edgar/data/1646924/0001056404-16-003861-index.html</v>
      </c>
    </row>
    <row r="2818" spans="1:6" x14ac:dyDescent="0.2">
      <c r="A2818" t="s">
        <v>2535</v>
      </c>
      <c r="B2818" s="1">
        <v>1647088</v>
      </c>
      <c r="C2818" s="1">
        <v>6770</v>
      </c>
      <c r="D2818" s="2">
        <v>42459</v>
      </c>
      <c r="E2818" s="1" t="s">
        <v>18</v>
      </c>
      <c r="F2818" t="str">
        <f>HYPERLINK("http://www.sec.gov/Archives/edgar/data/1647088/0001144204-16-091401-index.html")</f>
        <v>http://www.sec.gov/Archives/edgar/data/1647088/0001144204-16-091401-index.html</v>
      </c>
    </row>
    <row r="2819" spans="1:6" x14ac:dyDescent="0.2">
      <c r="A2819" t="s">
        <v>2536</v>
      </c>
      <c r="B2819" s="1">
        <v>1647705</v>
      </c>
      <c r="C2819" s="1">
        <v>3730</v>
      </c>
      <c r="D2819" s="2">
        <v>42459</v>
      </c>
      <c r="E2819" s="1" t="s">
        <v>18</v>
      </c>
      <c r="F2819" t="str">
        <f>HYPERLINK("http://www.sec.gov/Archives/edgar/data/1647705/0001511164-16-000720-index.html")</f>
        <v>http://www.sec.gov/Archives/edgar/data/1647705/0001511164-16-000720-index.html</v>
      </c>
    </row>
    <row r="2820" spans="1:6" x14ac:dyDescent="0.2">
      <c r="A2820" t="s">
        <v>2537</v>
      </c>
      <c r="B2820" s="1">
        <v>1648439</v>
      </c>
      <c r="C2820" s="1">
        <v>6189</v>
      </c>
      <c r="D2820" s="2">
        <v>42459</v>
      </c>
      <c r="E2820" s="1" t="s">
        <v>18</v>
      </c>
      <c r="F2820" t="str">
        <f>HYPERLINK("http://www.sec.gov/Archives/edgar/data/1648439/0001193125-16-523617-index.html")</f>
        <v>http://www.sec.gov/Archives/edgar/data/1648439/0001193125-16-523617-index.html</v>
      </c>
    </row>
    <row r="2821" spans="1:6" x14ac:dyDescent="0.2">
      <c r="A2821" t="s">
        <v>909</v>
      </c>
      <c r="B2821" s="1">
        <v>1649011</v>
      </c>
      <c r="C2821" s="1">
        <v>6189</v>
      </c>
      <c r="D2821" s="2">
        <v>42459</v>
      </c>
      <c r="E2821" s="1" t="s">
        <v>18</v>
      </c>
      <c r="F2821" t="str">
        <f>HYPERLINK("http://www.sec.gov/Archives/edgar/data/1649011/0001193125-16-522917-index.html")</f>
        <v>http://www.sec.gov/Archives/edgar/data/1649011/0001193125-16-522917-index.html</v>
      </c>
    </row>
    <row r="2822" spans="1:6" x14ac:dyDescent="0.2">
      <c r="A2822" t="s">
        <v>2538</v>
      </c>
      <c r="B2822" s="1">
        <v>1650664</v>
      </c>
      <c r="C2822" s="1">
        <v>2836</v>
      </c>
      <c r="D2822" s="2">
        <v>42459</v>
      </c>
      <c r="E2822" s="1" t="s">
        <v>18</v>
      </c>
      <c r="F2822" t="str">
        <f>HYPERLINK("http://www.sec.gov/Archives/edgar/data/1650664/0001558370-16-004455-index.html")</f>
        <v>http://www.sec.gov/Archives/edgar/data/1650664/0001558370-16-004455-index.html</v>
      </c>
    </row>
    <row r="2823" spans="1:6" x14ac:dyDescent="0.2">
      <c r="A2823" t="s">
        <v>2539</v>
      </c>
      <c r="B2823" s="1">
        <v>1650962</v>
      </c>
      <c r="C2823" s="1">
        <v>3580</v>
      </c>
      <c r="D2823" s="2">
        <v>42459</v>
      </c>
      <c r="E2823" s="1" t="s">
        <v>18</v>
      </c>
      <c r="F2823" t="str">
        <f>HYPERLINK("http://www.sec.gov/Archives/edgar/data/1650962/0001650962-16-000059-index.html")</f>
        <v>http://www.sec.gov/Archives/edgar/data/1650962/0001650962-16-000059-index.html</v>
      </c>
    </row>
    <row r="2824" spans="1:6" x14ac:dyDescent="0.2">
      <c r="A2824" t="s">
        <v>2540</v>
      </c>
      <c r="B2824" s="1">
        <v>1651308</v>
      </c>
      <c r="C2824" s="1">
        <v>2834</v>
      </c>
      <c r="D2824" s="2">
        <v>42459</v>
      </c>
      <c r="E2824" s="1" t="s">
        <v>18</v>
      </c>
      <c r="F2824" t="str">
        <f>HYPERLINK("http://www.sec.gov/Archives/edgar/data/1651308/0001104659-16-108727-index.html")</f>
        <v>http://www.sec.gov/Archives/edgar/data/1651308/0001104659-16-108727-index.html</v>
      </c>
    </row>
    <row r="2825" spans="1:6" x14ac:dyDescent="0.2">
      <c r="A2825" t="s">
        <v>2541</v>
      </c>
      <c r="B2825" s="1">
        <v>1651588</v>
      </c>
      <c r="C2825" s="1">
        <v>6189</v>
      </c>
      <c r="D2825" s="2">
        <v>42459</v>
      </c>
      <c r="E2825" s="1" t="s">
        <v>18</v>
      </c>
      <c r="F2825" t="str">
        <f>HYPERLINK("http://www.sec.gov/Archives/edgar/data/1651588/0001193125-16-523692-index.html")</f>
        <v>http://www.sec.gov/Archives/edgar/data/1651588/0001193125-16-523692-index.html</v>
      </c>
    </row>
    <row r="2826" spans="1:6" x14ac:dyDescent="0.2">
      <c r="A2826" t="s">
        <v>2542</v>
      </c>
      <c r="B2826" s="1">
        <v>1651987</v>
      </c>
      <c r="C2826" s="1">
        <v>6035</v>
      </c>
      <c r="D2826" s="2">
        <v>42459</v>
      </c>
      <c r="E2826" s="1" t="s">
        <v>18</v>
      </c>
      <c r="F2826" t="str">
        <f>HYPERLINK("http://www.sec.gov/Archives/edgar/data/1651987/0001571049-16-013453-index.html")</f>
        <v>http://www.sec.gov/Archives/edgar/data/1651987/0001571049-16-013453-index.html</v>
      </c>
    </row>
    <row r="2827" spans="1:6" x14ac:dyDescent="0.2">
      <c r="A2827" t="s">
        <v>2543</v>
      </c>
      <c r="B2827" s="1">
        <v>1652958</v>
      </c>
      <c r="C2827" s="1">
        <v>8082</v>
      </c>
      <c r="D2827" s="2">
        <v>42459</v>
      </c>
      <c r="E2827" s="1" t="s">
        <v>18</v>
      </c>
      <c r="F2827" t="str">
        <f>HYPERLINK("http://www.sec.gov/Archives/edgar/data/1652958/0001273511-16-000165-index.html")</f>
        <v>http://www.sec.gov/Archives/edgar/data/1652958/0001273511-16-000165-index.html</v>
      </c>
    </row>
    <row r="2828" spans="1:6" x14ac:dyDescent="0.2">
      <c r="A2828" t="s">
        <v>910</v>
      </c>
      <c r="B2828" s="1">
        <v>1654250</v>
      </c>
      <c r="C2828" s="1">
        <v>6189</v>
      </c>
      <c r="D2828" s="2">
        <v>42459</v>
      </c>
      <c r="E2828" s="1" t="s">
        <v>18</v>
      </c>
      <c r="F2828" t="str">
        <f>HYPERLINK("http://www.sec.gov/Archives/edgar/data/1654250/0001193125-16-522818-index.html")</f>
        <v>http://www.sec.gov/Archives/edgar/data/1654250/0001193125-16-522818-index.html</v>
      </c>
    </row>
    <row r="2829" spans="1:6" x14ac:dyDescent="0.2">
      <c r="A2829" t="s">
        <v>2544</v>
      </c>
      <c r="B2829" s="1">
        <v>1655591</v>
      </c>
      <c r="C2829" s="1">
        <v>6189</v>
      </c>
      <c r="D2829" s="2">
        <v>42459</v>
      </c>
      <c r="E2829" s="1" t="s">
        <v>18</v>
      </c>
      <c r="F2829" t="str">
        <f>HYPERLINK("http://www.sec.gov/Archives/edgar/data/1655591/0001056404-16-003865-index.html")</f>
        <v>http://www.sec.gov/Archives/edgar/data/1655591/0001056404-16-003865-index.html</v>
      </c>
    </row>
    <row r="2830" spans="1:6" x14ac:dyDescent="0.2">
      <c r="A2830" t="s">
        <v>2545</v>
      </c>
      <c r="B2830" s="1">
        <v>1656047</v>
      </c>
      <c r="C2830" s="1">
        <v>6189</v>
      </c>
      <c r="D2830" s="2">
        <v>42459</v>
      </c>
      <c r="E2830" s="1" t="s">
        <v>18</v>
      </c>
      <c r="F2830" t="str">
        <f>HYPERLINK("http://www.sec.gov/Archives/edgar/data/1656047/0001056404-16-003859-index.html")</f>
        <v>http://www.sec.gov/Archives/edgar/data/1656047/0001056404-16-003859-index.html</v>
      </c>
    </row>
    <row r="2831" spans="1:6" x14ac:dyDescent="0.2">
      <c r="A2831" t="s">
        <v>2546</v>
      </c>
      <c r="B2831" s="1">
        <v>1657325</v>
      </c>
      <c r="C2831" s="1">
        <v>6189</v>
      </c>
      <c r="D2831" s="2">
        <v>42459</v>
      </c>
      <c r="E2831" s="1" t="s">
        <v>18</v>
      </c>
      <c r="F2831" t="str">
        <f>HYPERLINK("http://www.sec.gov/Archives/edgar/data/1657325/0001193125-16-523884-index.html")</f>
        <v>http://www.sec.gov/Archives/edgar/data/1657325/0001193125-16-523884-index.html</v>
      </c>
    </row>
    <row r="2832" spans="1:6" x14ac:dyDescent="0.2">
      <c r="A2832" t="s">
        <v>2547</v>
      </c>
      <c r="B2832" s="1">
        <v>1657889</v>
      </c>
      <c r="C2832" s="1">
        <v>6189</v>
      </c>
      <c r="D2832" s="2">
        <v>42459</v>
      </c>
      <c r="E2832" s="1" t="s">
        <v>18</v>
      </c>
      <c r="F2832" t="str">
        <f>HYPERLINK("http://www.sec.gov/Archives/edgar/data/1657889/0001056404-16-003867-index.html")</f>
        <v>http://www.sec.gov/Archives/edgar/data/1657889/0001056404-16-003867-index.html</v>
      </c>
    </row>
    <row r="2833" spans="1:6" x14ac:dyDescent="0.2">
      <c r="A2833" t="s">
        <v>2548</v>
      </c>
      <c r="B2833" s="1">
        <v>1658982</v>
      </c>
      <c r="C2833" s="1">
        <v>6189</v>
      </c>
      <c r="D2833" s="2">
        <v>42459</v>
      </c>
      <c r="E2833" s="1" t="s">
        <v>18</v>
      </c>
      <c r="F2833" t="str">
        <f>HYPERLINK("http://www.sec.gov/Archives/edgar/data/1658982/0001193125-16-523759-index.html")</f>
        <v>http://www.sec.gov/Archives/edgar/data/1658982/0001193125-16-523759-index.html</v>
      </c>
    </row>
    <row r="2834" spans="1:6" x14ac:dyDescent="0.2">
      <c r="A2834" t="s">
        <v>2549</v>
      </c>
      <c r="B2834" s="1">
        <v>18498</v>
      </c>
      <c r="C2834" s="1">
        <v>5661</v>
      </c>
      <c r="D2834" s="2">
        <v>42459</v>
      </c>
      <c r="E2834" s="1" t="s">
        <v>18</v>
      </c>
      <c r="F2834" t="str">
        <f>HYPERLINK("http://www.sec.gov/Archives/edgar/data/18498/0000018498-16-000065-index.html")</f>
        <v>http://www.sec.gov/Archives/edgar/data/18498/0000018498-16-000065-index.html</v>
      </c>
    </row>
    <row r="2835" spans="1:6" x14ac:dyDescent="0.2">
      <c r="A2835" t="s">
        <v>2550</v>
      </c>
      <c r="B2835" s="1">
        <v>312257</v>
      </c>
      <c r="C2835" s="1">
        <v>5141</v>
      </c>
      <c r="D2835" s="2">
        <v>42459</v>
      </c>
      <c r="E2835" s="1" t="s">
        <v>18</v>
      </c>
      <c r="F2835" t="str">
        <f>HYPERLINK("http://www.sec.gov/Archives/edgar/data/312257/0001185185-16-004093-index.html")</f>
        <v>http://www.sec.gov/Archives/edgar/data/312257/0001185185-16-004093-index.html</v>
      </c>
    </row>
    <row r="2836" spans="1:6" x14ac:dyDescent="0.2">
      <c r="A2836" t="s">
        <v>2551</v>
      </c>
      <c r="B2836" s="1">
        <v>313151</v>
      </c>
      <c r="C2836" s="1">
        <v>6500</v>
      </c>
      <c r="D2836" s="2">
        <v>42459</v>
      </c>
      <c r="E2836" s="1" t="s">
        <v>18</v>
      </c>
      <c r="F2836" t="str">
        <f>HYPERLINK("http://www.sec.gov/Archives/edgar/data/313151/0001193125-16-522859-index.html")</f>
        <v>http://www.sec.gov/Archives/edgar/data/313151/0001193125-16-522859-index.html</v>
      </c>
    </row>
    <row r="2837" spans="1:6" x14ac:dyDescent="0.2">
      <c r="A2837" t="s">
        <v>2552</v>
      </c>
      <c r="B2837" s="1">
        <v>313364</v>
      </c>
      <c r="C2837" s="1">
        <v>6792</v>
      </c>
      <c r="D2837" s="2">
        <v>42459</v>
      </c>
      <c r="E2837" s="1" t="s">
        <v>18</v>
      </c>
      <c r="F2837" t="str">
        <f>HYPERLINK("http://www.sec.gov/Archives/edgar/data/313364/0001047469-16-011747-index.html")</f>
        <v>http://www.sec.gov/Archives/edgar/data/313364/0001047469-16-011747-index.html</v>
      </c>
    </row>
    <row r="2838" spans="1:6" x14ac:dyDescent="0.2">
      <c r="A2838" t="s">
        <v>2553</v>
      </c>
      <c r="B2838" s="1">
        <v>31347</v>
      </c>
      <c r="C2838" s="1">
        <v>3576</v>
      </c>
      <c r="D2838" s="2">
        <v>42459</v>
      </c>
      <c r="E2838" s="1" t="s">
        <v>18</v>
      </c>
      <c r="F2838" t="str">
        <f>HYPERLINK("http://www.sec.gov/Archives/edgar/data/31347/0000031347-16-000049-index.html")</f>
        <v>http://www.sec.gov/Archives/edgar/data/31347/0000031347-16-000049-index.html</v>
      </c>
    </row>
    <row r="2839" spans="1:6" x14ac:dyDescent="0.2">
      <c r="A2839" t="s">
        <v>2554</v>
      </c>
      <c r="B2839" s="1">
        <v>314227</v>
      </c>
      <c r="C2839" s="1">
        <v>2860</v>
      </c>
      <c r="D2839" s="2">
        <v>42459</v>
      </c>
      <c r="E2839" s="1" t="s">
        <v>18</v>
      </c>
      <c r="F2839" t="str">
        <f>HYPERLINK("http://www.sec.gov/Archives/edgar/data/314227/0001354488-16-006793-index.html")</f>
        <v>http://www.sec.gov/Archives/edgar/data/314227/0001354488-16-006793-index.html</v>
      </c>
    </row>
    <row r="2840" spans="1:6" x14ac:dyDescent="0.2">
      <c r="A2840" t="s">
        <v>2555</v>
      </c>
      <c r="B2840" s="1">
        <v>315545</v>
      </c>
      <c r="C2840" s="1">
        <v>2834</v>
      </c>
      <c r="D2840" s="2">
        <v>42459</v>
      </c>
      <c r="E2840" s="1" t="s">
        <v>18</v>
      </c>
      <c r="F2840" t="str">
        <f>HYPERLINK("http://www.sec.gov/Archives/edgar/data/315545/0001193125-16-523701-index.html")</f>
        <v>http://www.sec.gov/Archives/edgar/data/315545/0001193125-16-523701-index.html</v>
      </c>
    </row>
    <row r="2841" spans="1:6" x14ac:dyDescent="0.2">
      <c r="A2841" t="s">
        <v>2556</v>
      </c>
      <c r="B2841" s="1">
        <v>315849</v>
      </c>
      <c r="C2841" s="1">
        <v>6022</v>
      </c>
      <c r="D2841" s="2">
        <v>42459</v>
      </c>
      <c r="E2841" s="1" t="s">
        <v>18</v>
      </c>
      <c r="F2841" t="str">
        <f>HYPERLINK("http://www.sec.gov/Archives/edgar/data/315849/0000315849-16-000045-index.html")</f>
        <v>http://www.sec.gov/Archives/edgar/data/315849/0000315849-16-000045-index.html</v>
      </c>
    </row>
    <row r="2842" spans="1:6" x14ac:dyDescent="0.2">
      <c r="A2842" t="s">
        <v>2557</v>
      </c>
      <c r="B2842" s="1">
        <v>316736</v>
      </c>
      <c r="C2842" s="1">
        <v>1311</v>
      </c>
      <c r="D2842" s="2">
        <v>42459</v>
      </c>
      <c r="E2842" s="1" t="s">
        <v>18</v>
      </c>
      <c r="F2842" t="str">
        <f>HYPERLINK("http://www.sec.gov/Archives/edgar/data/316736/0001654954-16-000204-index.html")</f>
        <v>http://www.sec.gov/Archives/edgar/data/316736/0001654954-16-000204-index.html</v>
      </c>
    </row>
    <row r="2843" spans="1:6" x14ac:dyDescent="0.2">
      <c r="A2843" t="s">
        <v>2558</v>
      </c>
      <c r="B2843" s="1">
        <v>318306</v>
      </c>
      <c r="C2843" s="1">
        <v>2834</v>
      </c>
      <c r="D2843" s="2">
        <v>42459</v>
      </c>
      <c r="E2843" s="1" t="s">
        <v>18</v>
      </c>
      <c r="F2843" t="str">
        <f>HYPERLINK("http://www.sec.gov/Archives/edgar/data/318306/0001144204-16-091600-index.html")</f>
        <v>http://www.sec.gov/Archives/edgar/data/318306/0001144204-16-091600-index.html</v>
      </c>
    </row>
    <row r="2844" spans="1:6" x14ac:dyDescent="0.2">
      <c r="A2844" t="s">
        <v>2559</v>
      </c>
      <c r="B2844" s="1">
        <v>318673</v>
      </c>
      <c r="C2844" s="1">
        <v>6199</v>
      </c>
      <c r="D2844" s="2">
        <v>42459</v>
      </c>
      <c r="E2844" s="1" t="s">
        <v>18</v>
      </c>
      <c r="F2844" t="str">
        <f>HYPERLINK("http://www.sec.gov/Archives/edgar/data/318673/0001096906-16-001519-index.html")</f>
        <v>http://www.sec.gov/Archives/edgar/data/318673/0001096906-16-001519-index.html</v>
      </c>
    </row>
    <row r="2845" spans="1:6" x14ac:dyDescent="0.2">
      <c r="A2845" t="s">
        <v>2560</v>
      </c>
      <c r="B2845" s="1">
        <v>319458</v>
      </c>
      <c r="C2845" s="1">
        <v>1389</v>
      </c>
      <c r="D2845" s="2">
        <v>42459</v>
      </c>
      <c r="E2845" s="1" t="s">
        <v>18</v>
      </c>
      <c r="F2845" t="str">
        <f>HYPERLINK("http://www.sec.gov/Archives/edgar/data/319458/0001437749-16-028671-index.html")</f>
        <v>http://www.sec.gov/Archives/edgar/data/319458/0001437749-16-028671-index.html</v>
      </c>
    </row>
    <row r="2846" spans="1:6" x14ac:dyDescent="0.2">
      <c r="A2846" t="s">
        <v>2561</v>
      </c>
      <c r="B2846" s="1">
        <v>320121</v>
      </c>
      <c r="C2846" s="1">
        <v>7373</v>
      </c>
      <c r="D2846" s="2">
        <v>42459</v>
      </c>
      <c r="E2846" s="1" t="s">
        <v>18</v>
      </c>
      <c r="F2846" t="str">
        <f>HYPERLINK("http://www.sec.gov/Archives/edgar/data/320121/0000320121-16-000045-index.html")</f>
        <v>http://www.sec.gov/Archives/edgar/data/320121/0000320121-16-000045-index.html</v>
      </c>
    </row>
    <row r="2847" spans="1:6" x14ac:dyDescent="0.2">
      <c r="A2847" t="s">
        <v>2562</v>
      </c>
      <c r="B2847" s="1">
        <v>34285</v>
      </c>
      <c r="C2847" s="1">
        <v>3825</v>
      </c>
      <c r="D2847" s="2">
        <v>42459</v>
      </c>
      <c r="E2847" s="1" t="s">
        <v>18</v>
      </c>
      <c r="F2847" t="str">
        <f>HYPERLINK("http://www.sec.gov/Archives/edgar/data/34285/0001079974-16-001076-index.html")</f>
        <v>http://www.sec.gov/Archives/edgar/data/34285/0001079974-16-001076-index.html</v>
      </c>
    </row>
    <row r="2848" spans="1:6" x14ac:dyDescent="0.2">
      <c r="A2848" t="s">
        <v>2563</v>
      </c>
      <c r="B2848" s="1">
        <v>350737</v>
      </c>
      <c r="C2848" s="1">
        <v>2842</v>
      </c>
      <c r="D2848" s="2">
        <v>42459</v>
      </c>
      <c r="E2848" s="1" t="s">
        <v>18</v>
      </c>
      <c r="F2848" t="str">
        <f>HYPERLINK("http://www.sec.gov/Archives/edgar/data/350737/0001213900-16-012017-index.html")</f>
        <v>http://www.sec.gov/Archives/edgar/data/350737/0001213900-16-012017-index.html</v>
      </c>
    </row>
    <row r="2849" spans="1:6" x14ac:dyDescent="0.2">
      <c r="A2849" t="s">
        <v>2564</v>
      </c>
      <c r="B2849" s="1">
        <v>355379</v>
      </c>
      <c r="C2849" s="1">
        <v>6311</v>
      </c>
      <c r="D2849" s="2">
        <v>42459</v>
      </c>
      <c r="E2849" s="1" t="s">
        <v>18</v>
      </c>
      <c r="F2849" t="str">
        <f>HYPERLINK("http://www.sec.gov/Archives/edgar/data/355379/0001206774-16-005210-index.html")</f>
        <v>http://www.sec.gov/Archives/edgar/data/355379/0001206774-16-005210-index.html</v>
      </c>
    </row>
    <row r="2850" spans="1:6" x14ac:dyDescent="0.2">
      <c r="A2850" t="s">
        <v>2565</v>
      </c>
      <c r="B2850" s="1">
        <v>36506</v>
      </c>
      <c r="C2850" s="1">
        <v>6022</v>
      </c>
      <c r="D2850" s="2">
        <v>42459</v>
      </c>
      <c r="E2850" s="1" t="s">
        <v>18</v>
      </c>
      <c r="F2850" t="str">
        <f>HYPERLINK("http://www.sec.gov/Archives/edgar/data/36506/0001104659-16-108403-index.html")</f>
        <v>http://www.sec.gov/Archives/edgar/data/36506/0001104659-16-108403-index.html</v>
      </c>
    </row>
    <row r="2851" spans="1:6" x14ac:dyDescent="0.2">
      <c r="A2851" t="s">
        <v>2566</v>
      </c>
      <c r="B2851" s="1">
        <v>38723</v>
      </c>
      <c r="C2851" s="1">
        <v>6141</v>
      </c>
      <c r="D2851" s="2">
        <v>42459</v>
      </c>
      <c r="E2851" s="1" t="s">
        <v>18</v>
      </c>
      <c r="F2851" t="str">
        <f>HYPERLINK("http://www.sec.gov/Archives/edgar/data/38723/0001376474-16-000618-index.html")</f>
        <v>http://www.sec.gov/Archives/edgar/data/38723/0001376474-16-000618-index.html</v>
      </c>
    </row>
    <row r="2852" spans="1:6" x14ac:dyDescent="0.2">
      <c r="A2852" t="s">
        <v>2567</v>
      </c>
      <c r="B2852" s="1">
        <v>54681</v>
      </c>
      <c r="C2852" s="1">
        <v>3559</v>
      </c>
      <c r="D2852" s="2">
        <v>42459</v>
      </c>
      <c r="E2852" s="1" t="s">
        <v>18</v>
      </c>
      <c r="F2852" t="str">
        <f>HYPERLINK("http://www.sec.gov/Archives/edgar/data/54681/0001140361-16-059556-index.html")</f>
        <v>http://www.sec.gov/Archives/edgar/data/54681/0001140361-16-059556-index.html</v>
      </c>
    </row>
    <row r="2853" spans="1:6" x14ac:dyDescent="0.2">
      <c r="A2853" t="s">
        <v>2568</v>
      </c>
      <c r="B2853" s="1">
        <v>64463</v>
      </c>
      <c r="C2853" s="1">
        <v>3829</v>
      </c>
      <c r="D2853" s="2">
        <v>42459</v>
      </c>
      <c r="E2853" s="1" t="s">
        <v>18</v>
      </c>
      <c r="F2853" t="str">
        <f>HYPERLINK("http://www.sec.gov/Archives/edgar/data/64463/0001003297-16-000640-index.html")</f>
        <v>http://www.sec.gov/Archives/edgar/data/64463/0001003297-16-000640-index.html</v>
      </c>
    </row>
    <row r="2854" spans="1:6" x14ac:dyDescent="0.2">
      <c r="A2854" t="s">
        <v>2569</v>
      </c>
      <c r="B2854" s="1">
        <v>65596</v>
      </c>
      <c r="C2854" s="1">
        <v>6211</v>
      </c>
      <c r="D2854" s="2">
        <v>42459</v>
      </c>
      <c r="E2854" s="1" t="s">
        <v>18</v>
      </c>
      <c r="F2854" t="str">
        <f>HYPERLINK("http://www.sec.gov/Archives/edgar/data/65596/0001354488-16-006819-index.html")</f>
        <v>http://www.sec.gov/Archives/edgar/data/65596/0001354488-16-006819-index.html</v>
      </c>
    </row>
    <row r="2855" spans="1:6" x14ac:dyDescent="0.2">
      <c r="A2855" t="s">
        <v>2570</v>
      </c>
      <c r="B2855" s="1">
        <v>66649</v>
      </c>
      <c r="C2855" s="1">
        <v>1000</v>
      </c>
      <c r="D2855" s="2">
        <v>42459</v>
      </c>
      <c r="E2855" s="1" t="s">
        <v>18</v>
      </c>
      <c r="F2855" t="str">
        <f>HYPERLINK("http://www.sec.gov/Archives/edgar/data/66649/0001558370-16-004481-index.html")</f>
        <v>http://www.sec.gov/Archives/edgar/data/66649/0001558370-16-004481-index.html</v>
      </c>
    </row>
    <row r="2856" spans="1:6" x14ac:dyDescent="0.2">
      <c r="A2856" t="s">
        <v>2571</v>
      </c>
      <c r="B2856" s="1">
        <v>6885</v>
      </c>
      <c r="C2856" s="1">
        <v>5651</v>
      </c>
      <c r="D2856" s="2">
        <v>42459</v>
      </c>
      <c r="E2856" s="1" t="s">
        <v>18</v>
      </c>
      <c r="F2856" t="str">
        <f>HYPERLINK("http://www.sec.gov/Archives/edgar/data/6885/0000006885-16-000411-index.html")</f>
        <v>http://www.sec.gov/Archives/edgar/data/6885/0000006885-16-000411-index.html</v>
      </c>
    </row>
    <row r="2857" spans="1:6" x14ac:dyDescent="0.2">
      <c r="A2857" t="s">
        <v>2572</v>
      </c>
      <c r="B2857" s="1">
        <v>701719</v>
      </c>
      <c r="C2857" s="1">
        <v>5944</v>
      </c>
      <c r="D2857" s="2">
        <v>42459</v>
      </c>
      <c r="E2857" s="1" t="s">
        <v>18</v>
      </c>
      <c r="F2857" t="str">
        <f>HYPERLINK("http://www.sec.gov/Archives/edgar/data/701719/0001144204-16-091577-index.html")</f>
        <v>http://www.sec.gov/Archives/edgar/data/701719/0001144204-16-091577-index.html</v>
      </c>
    </row>
    <row r="2858" spans="1:6" x14ac:dyDescent="0.2">
      <c r="A2858" t="s">
        <v>2573</v>
      </c>
      <c r="B2858" s="1">
        <v>708821</v>
      </c>
      <c r="C2858" s="1">
        <v>3578</v>
      </c>
      <c r="D2858" s="2">
        <v>42459</v>
      </c>
      <c r="E2858" s="1" t="s">
        <v>18</v>
      </c>
      <c r="F2858" t="str">
        <f>HYPERLINK("http://www.sec.gov/Archives/edgar/data/708821/0001140361-16-059555-index.html")</f>
        <v>http://www.sec.gov/Archives/edgar/data/708821/0001140361-16-059555-index.html</v>
      </c>
    </row>
    <row r="2859" spans="1:6" x14ac:dyDescent="0.2">
      <c r="A2859" t="s">
        <v>2574</v>
      </c>
      <c r="B2859" s="1">
        <v>714284</v>
      </c>
      <c r="C2859" s="1">
        <v>3714</v>
      </c>
      <c r="D2859" s="2">
        <v>42459</v>
      </c>
      <c r="E2859" s="1" t="s">
        <v>18</v>
      </c>
      <c r="F2859" t="str">
        <f>HYPERLINK("http://www.sec.gov/Archives/edgar/data/714284/0001144204-16-091540-index.html")</f>
        <v>http://www.sec.gov/Archives/edgar/data/714284/0001144204-16-091540-index.html</v>
      </c>
    </row>
    <row r="2860" spans="1:6" x14ac:dyDescent="0.2">
      <c r="A2860" t="s">
        <v>2574</v>
      </c>
      <c r="B2860" s="1">
        <v>714284</v>
      </c>
      <c r="C2860" s="1">
        <v>3714</v>
      </c>
      <c r="D2860" s="2">
        <v>42459</v>
      </c>
      <c r="E2860" s="1" t="s">
        <v>18</v>
      </c>
      <c r="F2860" t="str">
        <f>HYPERLINK("http://www.sec.gov/Archives/edgar/data/714284/0001144204-16-091541-index.html")</f>
        <v>http://www.sec.gov/Archives/edgar/data/714284/0001144204-16-091541-index.html</v>
      </c>
    </row>
    <row r="2861" spans="1:6" x14ac:dyDescent="0.2">
      <c r="A2861" t="s">
        <v>2575</v>
      </c>
      <c r="B2861" s="1">
        <v>719402</v>
      </c>
      <c r="C2861" s="1">
        <v>6022</v>
      </c>
      <c r="D2861" s="2">
        <v>42459</v>
      </c>
      <c r="E2861" s="1" t="s">
        <v>18</v>
      </c>
      <c r="F2861" t="str">
        <f>HYPERLINK("http://www.sec.gov/Archives/edgar/data/719402/0001193125-16-523562-index.html")</f>
        <v>http://www.sec.gov/Archives/edgar/data/719402/0001193125-16-523562-index.html</v>
      </c>
    </row>
    <row r="2862" spans="1:6" x14ac:dyDescent="0.2">
      <c r="A2862" t="s">
        <v>2576</v>
      </c>
      <c r="B2862" s="1">
        <v>719494</v>
      </c>
      <c r="C2862" s="1">
        <v>3679</v>
      </c>
      <c r="D2862" s="2">
        <v>42459</v>
      </c>
      <c r="E2862" s="1" t="s">
        <v>18</v>
      </c>
      <c r="F2862" t="str">
        <f>HYPERLINK("http://www.sec.gov/Archives/edgar/data/719494/0001144204-16-091568-index.html")</f>
        <v>http://www.sec.gov/Archives/edgar/data/719494/0001144204-16-091568-index.html</v>
      </c>
    </row>
    <row r="2863" spans="1:6" x14ac:dyDescent="0.2">
      <c r="A2863" t="s">
        <v>2577</v>
      </c>
      <c r="B2863" s="1">
        <v>727672</v>
      </c>
      <c r="C2863" s="1">
        <v>3845</v>
      </c>
      <c r="D2863" s="2">
        <v>42459</v>
      </c>
      <c r="E2863" s="1" t="s">
        <v>18</v>
      </c>
      <c r="F2863" t="str">
        <f>HYPERLINK("http://www.sec.gov/Archives/edgar/data/727672/0001615774-16-004709-index.html")</f>
        <v>http://www.sec.gov/Archives/edgar/data/727672/0001615774-16-004709-index.html</v>
      </c>
    </row>
    <row r="2864" spans="1:6" x14ac:dyDescent="0.2">
      <c r="A2864" t="s">
        <v>2578</v>
      </c>
      <c r="B2864" s="1">
        <v>728385</v>
      </c>
      <c r="C2864" s="1">
        <v>3829</v>
      </c>
      <c r="D2864" s="2">
        <v>42459</v>
      </c>
      <c r="E2864" s="1" t="s">
        <v>18</v>
      </c>
      <c r="F2864" t="str">
        <f>HYPERLINK("http://www.sec.gov/Archives/edgar/data/728385/0001477932-16-009335-index.html")</f>
        <v>http://www.sec.gov/Archives/edgar/data/728385/0001477932-16-009335-index.html</v>
      </c>
    </row>
    <row r="2865" spans="1:6" x14ac:dyDescent="0.2">
      <c r="A2865" t="s">
        <v>2579</v>
      </c>
      <c r="B2865" s="1">
        <v>733590</v>
      </c>
      <c r="C2865" s="1">
        <v>6798</v>
      </c>
      <c r="D2865" s="2">
        <v>42459</v>
      </c>
      <c r="E2865" s="1" t="s">
        <v>18</v>
      </c>
      <c r="F2865" t="str">
        <f>HYPERLINK("http://www.sec.gov/Archives/edgar/data/733590/0001387131-16-004817-index.html")</f>
        <v>http://www.sec.gov/Archives/edgar/data/733590/0001387131-16-004817-index.html</v>
      </c>
    </row>
    <row r="2866" spans="1:6" x14ac:dyDescent="0.2">
      <c r="A2866" t="s">
        <v>2580</v>
      </c>
      <c r="B2866" s="1">
        <v>734543</v>
      </c>
      <c r="C2866" s="1">
        <v>6331</v>
      </c>
      <c r="D2866" s="2">
        <v>42459</v>
      </c>
      <c r="E2866" s="1" t="s">
        <v>18</v>
      </c>
      <c r="F2866" t="str">
        <f>HYPERLINK("http://www.sec.gov/Archives/edgar/data/734543/0001137050-16-000233-index.html")</f>
        <v>http://www.sec.gov/Archives/edgar/data/734543/0001137050-16-000233-index.html</v>
      </c>
    </row>
    <row r="2867" spans="1:6" x14ac:dyDescent="0.2">
      <c r="A2867" t="s">
        <v>2581</v>
      </c>
      <c r="B2867" s="1">
        <v>737207</v>
      </c>
      <c r="C2867" s="1">
        <v>2834</v>
      </c>
      <c r="D2867" s="2">
        <v>42459</v>
      </c>
      <c r="E2867" s="1" t="s">
        <v>18</v>
      </c>
      <c r="F2867" t="str">
        <f>HYPERLINK("http://www.sec.gov/Archives/edgar/data/737207/0001571049-16-013489-index.html")</f>
        <v>http://www.sec.gov/Archives/edgar/data/737207/0001571049-16-013489-index.html</v>
      </c>
    </row>
    <row r="2868" spans="1:6" x14ac:dyDescent="0.2">
      <c r="A2868" t="s">
        <v>2582</v>
      </c>
      <c r="B2868" s="1">
        <v>740806</v>
      </c>
      <c r="C2868" s="1">
        <v>6022</v>
      </c>
      <c r="D2868" s="2">
        <v>42459</v>
      </c>
      <c r="E2868" s="1" t="s">
        <v>18</v>
      </c>
      <c r="F2868" t="str">
        <f>HYPERLINK("http://www.sec.gov/Archives/edgar/data/740806/0001354488-16-006762-index.html")</f>
        <v>http://www.sec.gov/Archives/edgar/data/740806/0001354488-16-006762-index.html</v>
      </c>
    </row>
    <row r="2869" spans="1:6" x14ac:dyDescent="0.2">
      <c r="A2869" t="s">
        <v>2583</v>
      </c>
      <c r="B2869" s="1">
        <v>741815</v>
      </c>
      <c r="C2869" s="1">
        <v>8090</v>
      </c>
      <c r="D2869" s="2">
        <v>42459</v>
      </c>
      <c r="E2869" s="1" t="s">
        <v>18</v>
      </c>
      <c r="F2869" t="str">
        <f>HYPERLINK("http://www.sec.gov/Archives/edgar/data/741815/0000741815-16-000088-index.html")</f>
        <v>http://www.sec.gov/Archives/edgar/data/741815/0000741815-16-000088-index.html</v>
      </c>
    </row>
    <row r="2870" spans="1:6" x14ac:dyDescent="0.2">
      <c r="A2870" t="s">
        <v>2584</v>
      </c>
      <c r="B2870" s="1">
        <v>744825</v>
      </c>
      <c r="C2870" s="1">
        <v>8071</v>
      </c>
      <c r="D2870" s="2">
        <v>42459</v>
      </c>
      <c r="E2870" s="1" t="s">
        <v>18</v>
      </c>
      <c r="F2870" t="str">
        <f>HYPERLINK("http://www.sec.gov/Archives/edgar/data/744825/0001144204-16-091106-index.html")</f>
        <v>http://www.sec.gov/Archives/edgar/data/744825/0001144204-16-091106-index.html</v>
      </c>
    </row>
    <row r="2871" spans="1:6" x14ac:dyDescent="0.2">
      <c r="A2871" t="s">
        <v>2585</v>
      </c>
      <c r="B2871" s="1">
        <v>748790</v>
      </c>
      <c r="C2871" s="1">
        <v>100</v>
      </c>
      <c r="D2871" s="2">
        <v>42459</v>
      </c>
      <c r="E2871" s="1" t="s">
        <v>18</v>
      </c>
      <c r="F2871" t="str">
        <f>HYPERLINK("http://www.sec.gov/Archives/edgar/data/748790/0001445866-16-001826-index.html")</f>
        <v>http://www.sec.gov/Archives/edgar/data/748790/0001445866-16-001826-index.html</v>
      </c>
    </row>
    <row r="2872" spans="1:6" x14ac:dyDescent="0.2">
      <c r="A2872" t="s">
        <v>2586</v>
      </c>
      <c r="B2872" s="1">
        <v>749647</v>
      </c>
      <c r="C2872" s="1">
        <v>2834</v>
      </c>
      <c r="D2872" s="2">
        <v>42459</v>
      </c>
      <c r="E2872" s="1" t="s">
        <v>18</v>
      </c>
      <c r="F2872" t="str">
        <f>HYPERLINK("http://www.sec.gov/Archives/edgar/data/749647/0001437749-16-028601-index.html")</f>
        <v>http://www.sec.gov/Archives/edgar/data/749647/0001437749-16-028601-index.html</v>
      </c>
    </row>
    <row r="2873" spans="1:6" x14ac:dyDescent="0.2">
      <c r="A2873" t="s">
        <v>2587</v>
      </c>
      <c r="B2873" s="1">
        <v>75340</v>
      </c>
      <c r="C2873" s="1">
        <v>3540</v>
      </c>
      <c r="D2873" s="2">
        <v>42459</v>
      </c>
      <c r="E2873" s="1" t="s">
        <v>18</v>
      </c>
      <c r="F2873" t="str">
        <f>HYPERLINK("http://www.sec.gov/Archives/edgar/data/75340/0001144204-16-091206-index.html")</f>
        <v>http://www.sec.gov/Archives/edgar/data/75340/0001144204-16-091206-index.html</v>
      </c>
    </row>
    <row r="2874" spans="1:6" x14ac:dyDescent="0.2">
      <c r="A2874" t="s">
        <v>2588</v>
      </c>
      <c r="B2874" s="1">
        <v>758938</v>
      </c>
      <c r="C2874" s="1">
        <v>3695</v>
      </c>
      <c r="D2874" s="2">
        <v>42459</v>
      </c>
      <c r="E2874" s="1" t="s">
        <v>21</v>
      </c>
      <c r="F2874" t="str">
        <f>HYPERLINK("http://www.sec.gov/Archives/edgar/data/758938/0001437749-16-028636-index.html")</f>
        <v>http://www.sec.gov/Archives/edgar/data/758938/0001437749-16-028636-index.html</v>
      </c>
    </row>
    <row r="2875" spans="1:6" x14ac:dyDescent="0.2">
      <c r="A2875" t="s">
        <v>2589</v>
      </c>
      <c r="B2875" s="1">
        <v>764579</v>
      </c>
      <c r="C2875" s="1">
        <v>3841</v>
      </c>
      <c r="D2875" s="2">
        <v>42459</v>
      </c>
      <c r="E2875" s="1" t="s">
        <v>18</v>
      </c>
      <c r="F2875" t="str">
        <f>HYPERLINK("http://www.sec.gov/Archives/edgar/data/764579/0001072613-16-000743-index.html")</f>
        <v>http://www.sec.gov/Archives/edgar/data/764579/0001072613-16-000743-index.html</v>
      </c>
    </row>
    <row r="2876" spans="1:6" x14ac:dyDescent="0.2">
      <c r="A2876" t="s">
        <v>2590</v>
      </c>
      <c r="B2876" s="1">
        <v>766792</v>
      </c>
      <c r="C2876" s="1">
        <v>3559</v>
      </c>
      <c r="D2876" s="2">
        <v>42459</v>
      </c>
      <c r="E2876" s="1" t="s">
        <v>18</v>
      </c>
      <c r="F2876" t="str">
        <f>HYPERLINK("http://www.sec.gov/Archives/edgar/data/766792/0001437749-16-028683-index.html")</f>
        <v>http://www.sec.gov/Archives/edgar/data/766792/0001437749-16-028683-index.html</v>
      </c>
    </row>
    <row r="2877" spans="1:6" x14ac:dyDescent="0.2">
      <c r="A2877" t="s">
        <v>2591</v>
      </c>
      <c r="B2877" s="1">
        <v>771999</v>
      </c>
      <c r="C2877" s="1">
        <v>2650</v>
      </c>
      <c r="D2877" s="2">
        <v>42459</v>
      </c>
      <c r="E2877" s="1" t="s">
        <v>18</v>
      </c>
      <c r="F2877" t="str">
        <f>HYPERLINK("http://www.sec.gov/Archives/edgar/data/771999/0001493152-16-008415-index.html")</f>
        <v>http://www.sec.gov/Archives/edgar/data/771999/0001493152-16-008415-index.html</v>
      </c>
    </row>
    <row r="2878" spans="1:6" x14ac:dyDescent="0.2">
      <c r="A2878" t="s">
        <v>2592</v>
      </c>
      <c r="B2878" s="1">
        <v>792161</v>
      </c>
      <c r="C2878" s="1">
        <v>100</v>
      </c>
      <c r="D2878" s="2">
        <v>42459</v>
      </c>
      <c r="E2878" s="1" t="s">
        <v>18</v>
      </c>
      <c r="F2878" t="str">
        <f>HYPERLINK("http://www.sec.gov/Archives/edgar/data/792161/0001437749-16-028645-index.html")</f>
        <v>http://www.sec.gov/Archives/edgar/data/792161/0001437749-16-028645-index.html</v>
      </c>
    </row>
    <row r="2879" spans="1:6" x14ac:dyDescent="0.2">
      <c r="A2879" t="s">
        <v>2593</v>
      </c>
      <c r="B2879" s="1">
        <v>793306</v>
      </c>
      <c r="C2879" s="1">
        <v>1311</v>
      </c>
      <c r="D2879" s="2">
        <v>42459</v>
      </c>
      <c r="E2879" s="1" t="s">
        <v>18</v>
      </c>
      <c r="F2879" t="str">
        <f>HYPERLINK("http://www.sec.gov/Archives/edgar/data/793306/0001354488-16-006800-index.html")</f>
        <v>http://www.sec.gov/Archives/edgar/data/793306/0001354488-16-006800-index.html</v>
      </c>
    </row>
    <row r="2880" spans="1:6" x14ac:dyDescent="0.2">
      <c r="A2880" t="s">
        <v>2594</v>
      </c>
      <c r="B2880" s="1">
        <v>794367</v>
      </c>
      <c r="C2880" s="1">
        <v>5311</v>
      </c>
      <c r="D2880" s="2">
        <v>42459</v>
      </c>
      <c r="E2880" s="1" t="s">
        <v>18</v>
      </c>
      <c r="F2880" t="str">
        <f>HYPERLINK("http://www.sec.gov/Archives/edgar/data/794367/0000794367-16-000221-index.html")</f>
        <v>http://www.sec.gov/Archives/edgar/data/794367/0000794367-16-000221-index.html</v>
      </c>
    </row>
    <row r="2881" spans="1:6" x14ac:dyDescent="0.2">
      <c r="A2881" t="s">
        <v>2595</v>
      </c>
      <c r="B2881" s="1">
        <v>798528</v>
      </c>
      <c r="C2881" s="1">
        <v>4400</v>
      </c>
      <c r="D2881" s="2">
        <v>42459</v>
      </c>
      <c r="E2881" s="1" t="s">
        <v>18</v>
      </c>
      <c r="F2881" t="str">
        <f>HYPERLINK("http://www.sec.gov/Archives/edgar/data/798528/0001193125-16-522498-index.html")</f>
        <v>http://www.sec.gov/Archives/edgar/data/798528/0001193125-16-522498-index.html</v>
      </c>
    </row>
    <row r="2882" spans="1:6" x14ac:dyDescent="0.2">
      <c r="A2882" t="s">
        <v>2596</v>
      </c>
      <c r="B2882" s="1">
        <v>805729</v>
      </c>
      <c r="C2882" s="1">
        <v>800</v>
      </c>
      <c r="D2882" s="2">
        <v>42459</v>
      </c>
      <c r="E2882" s="1" t="s">
        <v>18</v>
      </c>
      <c r="F2882" t="str">
        <f>HYPERLINK("http://www.sec.gov/Archives/edgar/data/805729/0001477932-16-009352-index.html")</f>
        <v>http://www.sec.gov/Archives/edgar/data/805729/0001477932-16-009352-index.html</v>
      </c>
    </row>
    <row r="2883" spans="1:6" x14ac:dyDescent="0.2">
      <c r="A2883" t="s">
        <v>2597</v>
      </c>
      <c r="B2883" s="1">
        <v>812152</v>
      </c>
      <c r="C2883" s="1">
        <v>6770</v>
      </c>
      <c r="D2883" s="2">
        <v>42459</v>
      </c>
      <c r="E2883" s="1" t="s">
        <v>18</v>
      </c>
      <c r="F2883" t="str">
        <f>HYPERLINK("http://www.sec.gov/Archives/edgar/data/812152/0001144204-16-091518-index.html")</f>
        <v>http://www.sec.gov/Archives/edgar/data/812152/0001144204-16-091518-index.html</v>
      </c>
    </row>
    <row r="2884" spans="1:6" x14ac:dyDescent="0.2">
      <c r="A2884" t="s">
        <v>1430</v>
      </c>
      <c r="B2884" s="1">
        <v>81318</v>
      </c>
      <c r="C2884" s="1">
        <v>1311</v>
      </c>
      <c r="D2884" s="2">
        <v>42459</v>
      </c>
      <c r="E2884" s="1" t="s">
        <v>18</v>
      </c>
      <c r="F2884" t="str">
        <f>HYPERLINK("http://www.sec.gov/Archives/edgar/data/81318/0001354488-16-006751-index.html")</f>
        <v>http://www.sec.gov/Archives/edgar/data/81318/0001354488-16-006751-index.html</v>
      </c>
    </row>
    <row r="2885" spans="1:6" x14ac:dyDescent="0.2">
      <c r="A2885" t="s">
        <v>2598</v>
      </c>
      <c r="B2885" s="1">
        <v>813640</v>
      </c>
      <c r="C2885" s="1">
        <v>6022</v>
      </c>
      <c r="D2885" s="2">
        <v>42459</v>
      </c>
      <c r="E2885" s="1" t="s">
        <v>18</v>
      </c>
      <c r="F2885" t="str">
        <f>HYPERLINK("http://www.sec.gov/Archives/edgar/data/813640/0001552781-16-001484-index.html")</f>
        <v>http://www.sec.gov/Archives/edgar/data/813640/0001552781-16-001484-index.html</v>
      </c>
    </row>
    <row r="2886" spans="1:6" x14ac:dyDescent="0.2">
      <c r="A2886" t="s">
        <v>2599</v>
      </c>
      <c r="B2886" s="1">
        <v>814286</v>
      </c>
      <c r="C2886" s="1">
        <v>7320</v>
      </c>
      <c r="D2886" s="2">
        <v>42459</v>
      </c>
      <c r="E2886" s="1" t="s">
        <v>18</v>
      </c>
      <c r="F2886" t="str">
        <f>HYPERLINK("http://www.sec.gov/Archives/edgar/data/814286/0001019687-16-005666-index.html")</f>
        <v>http://www.sec.gov/Archives/edgar/data/814286/0001019687-16-005666-index.html</v>
      </c>
    </row>
    <row r="2887" spans="1:6" x14ac:dyDescent="0.2">
      <c r="A2887" t="s">
        <v>2600</v>
      </c>
      <c r="B2887" s="1">
        <v>819926</v>
      </c>
      <c r="C2887" s="1">
        <v>3550</v>
      </c>
      <c r="D2887" s="2">
        <v>42459</v>
      </c>
      <c r="E2887" s="1" t="s">
        <v>18</v>
      </c>
      <c r="F2887" t="str">
        <f>HYPERLINK("http://www.sec.gov/Archives/edgar/data/819926/0001213900-16-012046-index.html")</f>
        <v>http://www.sec.gov/Archives/edgar/data/819926/0001213900-16-012046-index.html</v>
      </c>
    </row>
    <row r="2888" spans="1:6" x14ac:dyDescent="0.2">
      <c r="A2888" t="s">
        <v>2601</v>
      </c>
      <c r="B2888" s="1">
        <v>822411</v>
      </c>
      <c r="C2888" s="1">
        <v>2834</v>
      </c>
      <c r="D2888" s="2">
        <v>42459</v>
      </c>
      <c r="E2888" s="1" t="s">
        <v>18</v>
      </c>
      <c r="F2888" t="str">
        <f>HYPERLINK("http://www.sec.gov/Archives/edgar/data/822411/0001628280-16-013931-index.html")</f>
        <v>http://www.sec.gov/Archives/edgar/data/822411/0001628280-16-013931-index.html</v>
      </c>
    </row>
    <row r="2889" spans="1:6" x14ac:dyDescent="0.2">
      <c r="A2889" t="s">
        <v>2602</v>
      </c>
      <c r="B2889" s="1">
        <v>827099</v>
      </c>
      <c r="C2889" s="1">
        <v>7372</v>
      </c>
      <c r="D2889" s="2">
        <v>42459</v>
      </c>
      <c r="E2889" s="1" t="s">
        <v>18</v>
      </c>
      <c r="F2889" t="str">
        <f>HYPERLINK("http://www.sec.gov/Archives/edgar/data/827099/0001038838-16-000224-index.html")</f>
        <v>http://www.sec.gov/Archives/edgar/data/827099/0001038838-16-000224-index.html</v>
      </c>
    </row>
    <row r="2890" spans="1:6" x14ac:dyDescent="0.2">
      <c r="A2890" t="s">
        <v>2603</v>
      </c>
      <c r="B2890" s="1">
        <v>8328</v>
      </c>
      <c r="C2890" s="1">
        <v>1400</v>
      </c>
      <c r="D2890" s="2">
        <v>42459</v>
      </c>
      <c r="E2890" s="1" t="s">
        <v>18</v>
      </c>
      <c r="F2890" t="str">
        <f>HYPERLINK("http://www.sec.gov/Archives/edgar/data/8328/0001437749-16-028656-index.html")</f>
        <v>http://www.sec.gov/Archives/edgar/data/8328/0001437749-16-028656-index.html</v>
      </c>
    </row>
    <row r="2891" spans="1:6" x14ac:dyDescent="0.2">
      <c r="A2891" t="s">
        <v>2604</v>
      </c>
      <c r="B2891" s="1">
        <v>837852</v>
      </c>
      <c r="C2891" s="1">
        <v>4841</v>
      </c>
      <c r="D2891" s="2">
        <v>42459</v>
      </c>
      <c r="E2891" s="1" t="s">
        <v>18</v>
      </c>
      <c r="F2891" t="str">
        <f>HYPERLINK("http://www.sec.gov/Archives/edgar/data/837852/0001062993-16-008570-index.html")</f>
        <v>http://www.sec.gov/Archives/edgar/data/837852/0001062993-16-008570-index.html</v>
      </c>
    </row>
    <row r="2892" spans="1:6" x14ac:dyDescent="0.2">
      <c r="A2892" t="s">
        <v>2605</v>
      </c>
      <c r="B2892" s="1">
        <v>837919</v>
      </c>
      <c r="C2892" s="1">
        <v>6221</v>
      </c>
      <c r="D2892" s="2">
        <v>42459</v>
      </c>
      <c r="E2892" s="1" t="s">
        <v>18</v>
      </c>
      <c r="F2892" t="str">
        <f>HYPERLINK("http://www.sec.gov/Archives/edgar/data/837919/0000837919-16-000015-index.html")</f>
        <v>http://www.sec.gov/Archives/edgar/data/837919/0000837919-16-000015-index.html</v>
      </c>
    </row>
    <row r="2893" spans="1:6" x14ac:dyDescent="0.2">
      <c r="A2893" t="s">
        <v>2606</v>
      </c>
      <c r="B2893" s="1">
        <v>839087</v>
      </c>
      <c r="C2893" s="1">
        <v>3845</v>
      </c>
      <c r="D2893" s="2">
        <v>42459</v>
      </c>
      <c r="E2893" s="1" t="s">
        <v>18</v>
      </c>
      <c r="F2893" t="str">
        <f>HYPERLINK("http://www.sec.gov/Archives/edgar/data/839087/0001201800-16-000030-index.html")</f>
        <v>http://www.sec.gov/Archives/edgar/data/839087/0001201800-16-000030-index.html</v>
      </c>
    </row>
    <row r="2894" spans="1:6" x14ac:dyDescent="0.2">
      <c r="A2894" t="s">
        <v>2044</v>
      </c>
      <c r="B2894" s="1">
        <v>857737</v>
      </c>
      <c r="C2894" s="1">
        <v>3140</v>
      </c>
      <c r="D2894" s="2">
        <v>42459</v>
      </c>
      <c r="E2894" s="1" t="s">
        <v>18</v>
      </c>
      <c r="F2894" t="str">
        <f>HYPERLINK("http://www.sec.gov/Archives/edgar/data/857737/0001564590-16-015686-index.html")</f>
        <v>http://www.sec.gov/Archives/edgar/data/857737/0001564590-16-015686-index.html</v>
      </c>
    </row>
    <row r="2895" spans="1:6" x14ac:dyDescent="0.2">
      <c r="A2895" t="s">
        <v>2607</v>
      </c>
      <c r="B2895" s="1">
        <v>859222</v>
      </c>
      <c r="C2895" s="1">
        <v>6022</v>
      </c>
      <c r="D2895" s="2">
        <v>42459</v>
      </c>
      <c r="E2895" s="1" t="s">
        <v>18</v>
      </c>
      <c r="F2895" t="str">
        <f>HYPERLINK("http://www.sec.gov/Archives/edgar/data/859222/0001558370-16-004470-index.html")</f>
        <v>http://www.sec.gov/Archives/edgar/data/859222/0001558370-16-004470-index.html</v>
      </c>
    </row>
    <row r="2896" spans="1:6" x14ac:dyDescent="0.2">
      <c r="A2896" t="s">
        <v>2608</v>
      </c>
      <c r="B2896" s="1">
        <v>864240</v>
      </c>
      <c r="C2896" s="1">
        <v>3823</v>
      </c>
      <c r="D2896" s="2">
        <v>42459</v>
      </c>
      <c r="E2896" s="1" t="s">
        <v>18</v>
      </c>
      <c r="F2896" t="str">
        <f>HYPERLINK("http://www.sec.gov/Archives/edgar/data/864240/0001437749-16-028628-index.html")</f>
        <v>http://www.sec.gov/Archives/edgar/data/864240/0001437749-16-028628-index.html</v>
      </c>
    </row>
    <row r="2897" spans="1:6" x14ac:dyDescent="0.2">
      <c r="A2897" t="s">
        <v>2609</v>
      </c>
      <c r="B2897" s="1">
        <v>878932</v>
      </c>
      <c r="C2897" s="1">
        <v>1040</v>
      </c>
      <c r="D2897" s="2">
        <v>42459</v>
      </c>
      <c r="E2897" s="1" t="s">
        <v>18</v>
      </c>
      <c r="F2897" t="str">
        <f>HYPERLINK("http://www.sec.gov/Archives/edgar/data/878932/0001391609-16-000424-index.html")</f>
        <v>http://www.sec.gov/Archives/edgar/data/878932/0001391609-16-000424-index.html</v>
      </c>
    </row>
    <row r="2898" spans="1:6" x14ac:dyDescent="0.2">
      <c r="A2898" t="s">
        <v>2070</v>
      </c>
      <c r="B2898" s="1">
        <v>879911</v>
      </c>
      <c r="C2898" s="1">
        <v>3812</v>
      </c>
      <c r="D2898" s="2">
        <v>42459</v>
      </c>
      <c r="E2898" s="1" t="s">
        <v>18</v>
      </c>
      <c r="F2898" t="str">
        <f>HYPERLINK("http://www.sec.gov/Archives/edgar/data/879911/0001144204-16-091316-index.html")</f>
        <v>http://www.sec.gov/Archives/edgar/data/879911/0001144204-16-091316-index.html</v>
      </c>
    </row>
    <row r="2899" spans="1:6" x14ac:dyDescent="0.2">
      <c r="A2899" t="s">
        <v>2610</v>
      </c>
      <c r="B2899" s="1">
        <v>88000</v>
      </c>
      <c r="C2899" s="1">
        <v>2844</v>
      </c>
      <c r="D2899" s="2">
        <v>42459</v>
      </c>
      <c r="E2899" s="1" t="s">
        <v>18</v>
      </c>
      <c r="F2899" t="str">
        <f>HYPERLINK("http://www.sec.gov/Archives/edgar/data/88000/0001564590-16-015579-index.html")</f>
        <v>http://www.sec.gov/Archives/edgar/data/88000/0001564590-16-015579-index.html</v>
      </c>
    </row>
    <row r="2900" spans="1:6" x14ac:dyDescent="0.2">
      <c r="A2900" t="s">
        <v>2611</v>
      </c>
      <c r="B2900" s="1">
        <v>880242</v>
      </c>
      <c r="C2900" s="1">
        <v>2800</v>
      </c>
      <c r="D2900" s="2">
        <v>42459</v>
      </c>
      <c r="E2900" s="1" t="s">
        <v>18</v>
      </c>
      <c r="F2900" t="str">
        <f>HYPERLINK("http://www.sec.gov/Archives/edgar/data/880242/0001437749-16-028674-index.html")</f>
        <v>http://www.sec.gov/Archives/edgar/data/880242/0001437749-16-028674-index.html</v>
      </c>
    </row>
    <row r="2901" spans="1:6" x14ac:dyDescent="0.2">
      <c r="A2901" t="s">
        <v>2612</v>
      </c>
      <c r="B2901" s="1">
        <v>880984</v>
      </c>
      <c r="C2901" s="1">
        <v>8711</v>
      </c>
      <c r="D2901" s="2">
        <v>42459</v>
      </c>
      <c r="E2901" s="1" t="s">
        <v>18</v>
      </c>
      <c r="F2901" t="str">
        <f>HYPERLINK("http://www.sec.gov/Archives/edgar/data/880984/0001493152-16-008442-index.html")</f>
        <v>http://www.sec.gov/Archives/edgar/data/880984/0001493152-16-008442-index.html</v>
      </c>
    </row>
    <row r="2902" spans="1:6" x14ac:dyDescent="0.2">
      <c r="A2902" t="s">
        <v>2613</v>
      </c>
      <c r="B2902" s="1">
        <v>884144</v>
      </c>
      <c r="C2902" s="1">
        <v>7373</v>
      </c>
      <c r="D2902" s="2">
        <v>42459</v>
      </c>
      <c r="E2902" s="1" t="s">
        <v>18</v>
      </c>
      <c r="F2902" t="str">
        <f>HYPERLINK("http://www.sec.gov/Archives/edgar/data/884144/0001185185-16-004066-index.html")</f>
        <v>http://www.sec.gov/Archives/edgar/data/884144/0001185185-16-004066-index.html</v>
      </c>
    </row>
    <row r="2903" spans="1:6" x14ac:dyDescent="0.2">
      <c r="A2903" t="s">
        <v>2614</v>
      </c>
      <c r="B2903" s="1">
        <v>885245</v>
      </c>
      <c r="C2903" s="1">
        <v>5651</v>
      </c>
      <c r="D2903" s="2">
        <v>42459</v>
      </c>
      <c r="E2903" s="1" t="s">
        <v>18</v>
      </c>
      <c r="F2903" t="str">
        <f>HYPERLINK("http://www.sec.gov/Archives/edgar/data/885245/0000885245-16-000049-index.html")</f>
        <v>http://www.sec.gov/Archives/edgar/data/885245/0000885245-16-000049-index.html</v>
      </c>
    </row>
    <row r="2904" spans="1:6" x14ac:dyDescent="0.2">
      <c r="A2904" t="s">
        <v>2615</v>
      </c>
      <c r="B2904" s="1">
        <v>887151</v>
      </c>
      <c r="C2904" s="1">
        <v>2834</v>
      </c>
      <c r="D2904" s="2">
        <v>42459</v>
      </c>
      <c r="E2904" s="1" t="s">
        <v>18</v>
      </c>
      <c r="F2904" t="str">
        <f>HYPERLINK("http://www.sec.gov/Archives/edgar/data/887151/0001171843-16-008910-index.html")</f>
        <v>http://www.sec.gov/Archives/edgar/data/887151/0001171843-16-008910-index.html</v>
      </c>
    </row>
    <row r="2905" spans="1:6" x14ac:dyDescent="0.2">
      <c r="A2905" t="s">
        <v>2616</v>
      </c>
      <c r="B2905" s="1">
        <v>888981</v>
      </c>
      <c r="C2905" s="1">
        <v>3944</v>
      </c>
      <c r="D2905" s="2">
        <v>42459</v>
      </c>
      <c r="E2905" s="1" t="s">
        <v>18</v>
      </c>
      <c r="F2905" t="str">
        <f>HYPERLINK("http://www.sec.gov/Archives/edgar/data/888981/0001553350-16-001790-index.html")</f>
        <v>http://www.sec.gov/Archives/edgar/data/888981/0001553350-16-001790-index.html</v>
      </c>
    </row>
    <row r="2906" spans="1:6" x14ac:dyDescent="0.2">
      <c r="A2906" t="s">
        <v>2617</v>
      </c>
      <c r="B2906" s="1">
        <v>891417</v>
      </c>
      <c r="C2906" s="1">
        <v>3470</v>
      </c>
      <c r="D2906" s="2">
        <v>42459</v>
      </c>
      <c r="E2906" s="1" t="s">
        <v>18</v>
      </c>
      <c r="F2906" t="str">
        <f>HYPERLINK("http://www.sec.gov/Archives/edgar/data/891417/0001493152-16-008465-index.html")</f>
        <v>http://www.sec.gov/Archives/edgar/data/891417/0001493152-16-008465-index.html</v>
      </c>
    </row>
    <row r="2907" spans="1:6" x14ac:dyDescent="0.2">
      <c r="A2907" t="s">
        <v>2618</v>
      </c>
      <c r="B2907" s="1">
        <v>891482</v>
      </c>
      <c r="C2907" s="1">
        <v>7011</v>
      </c>
      <c r="D2907" s="2">
        <v>42459</v>
      </c>
      <c r="E2907" s="1" t="s">
        <v>18</v>
      </c>
      <c r="F2907" t="str">
        <f>HYPERLINK("http://www.sec.gov/Archives/edgar/data/891482/0000891482-16-000028-index.html")</f>
        <v>http://www.sec.gov/Archives/edgar/data/891482/0000891482-16-000028-index.html</v>
      </c>
    </row>
    <row r="2908" spans="1:6" x14ac:dyDescent="0.2">
      <c r="A2908" t="s">
        <v>2619</v>
      </c>
      <c r="B2908" s="1">
        <v>893847</v>
      </c>
      <c r="C2908" s="1">
        <v>6021</v>
      </c>
      <c r="D2908" s="2">
        <v>42459</v>
      </c>
      <c r="E2908" s="1" t="s">
        <v>18</v>
      </c>
      <c r="F2908" t="str">
        <f>HYPERLINK("http://www.sec.gov/Archives/edgar/data/893847/0001571049-16-013487-index.html")</f>
        <v>http://www.sec.gov/Archives/edgar/data/893847/0001571049-16-013487-index.html</v>
      </c>
    </row>
    <row r="2909" spans="1:6" x14ac:dyDescent="0.2">
      <c r="A2909" t="s">
        <v>2620</v>
      </c>
      <c r="B2909" s="1">
        <v>894871</v>
      </c>
      <c r="C2909" s="1">
        <v>3841</v>
      </c>
      <c r="D2909" s="2">
        <v>42459</v>
      </c>
      <c r="E2909" s="1" t="s">
        <v>18</v>
      </c>
      <c r="F2909" t="str">
        <f>HYPERLINK("http://www.sec.gov/Archives/edgar/data/894871/0001144204-16-091250-index.html")</f>
        <v>http://www.sec.gov/Archives/edgar/data/894871/0001144204-16-091250-index.html</v>
      </c>
    </row>
    <row r="2910" spans="1:6" x14ac:dyDescent="0.2">
      <c r="A2910" t="s">
        <v>2621</v>
      </c>
      <c r="B2910" s="1">
        <v>895665</v>
      </c>
      <c r="C2910" s="1">
        <v>3663</v>
      </c>
      <c r="D2910" s="2">
        <v>42459</v>
      </c>
      <c r="E2910" s="1" t="s">
        <v>18</v>
      </c>
      <c r="F2910" t="str">
        <f>HYPERLINK("http://www.sec.gov/Archives/edgar/data/895665/0001193125-16-523719-index.html")</f>
        <v>http://www.sec.gov/Archives/edgar/data/895665/0001193125-16-523719-index.html</v>
      </c>
    </row>
    <row r="2911" spans="1:6" x14ac:dyDescent="0.2">
      <c r="A2911" t="s">
        <v>2622</v>
      </c>
      <c r="B2911" s="1">
        <v>896493</v>
      </c>
      <c r="C2911" s="1">
        <v>3679</v>
      </c>
      <c r="D2911" s="2">
        <v>42459</v>
      </c>
      <c r="E2911" s="1" t="s">
        <v>18</v>
      </c>
      <c r="F2911" t="str">
        <f>HYPERLINK("http://www.sec.gov/Archives/edgar/data/896493/0001437749-16-028665-index.html")</f>
        <v>http://www.sec.gov/Archives/edgar/data/896493/0001437749-16-028665-index.html</v>
      </c>
    </row>
    <row r="2912" spans="1:6" x14ac:dyDescent="0.2">
      <c r="A2912" t="s">
        <v>2623</v>
      </c>
      <c r="B2912" s="1">
        <v>896747</v>
      </c>
      <c r="C2912" s="1">
        <v>2834</v>
      </c>
      <c r="D2912" s="2">
        <v>42459</v>
      </c>
      <c r="E2912" s="1" t="s">
        <v>18</v>
      </c>
      <c r="F2912" t="str">
        <f>HYPERLINK("http://www.sec.gov/Archives/edgar/data/896747/0001144204-16-091507-index.html")</f>
        <v>http://www.sec.gov/Archives/edgar/data/896747/0001144204-16-091507-index.html</v>
      </c>
    </row>
    <row r="2913" spans="1:6" x14ac:dyDescent="0.2">
      <c r="A2913" t="s">
        <v>2624</v>
      </c>
      <c r="B2913" s="1">
        <v>908598</v>
      </c>
      <c r="C2913" s="1">
        <v>2452</v>
      </c>
      <c r="D2913" s="2">
        <v>42459</v>
      </c>
      <c r="E2913" s="1" t="s">
        <v>18</v>
      </c>
      <c r="F2913" t="str">
        <f>HYPERLINK("http://www.sec.gov/Archives/edgar/data/908598/0001493152-16-008413-index.html")</f>
        <v>http://www.sec.gov/Archives/edgar/data/908598/0001493152-16-008413-index.html</v>
      </c>
    </row>
    <row r="2914" spans="1:6" x14ac:dyDescent="0.2">
      <c r="A2914" t="s">
        <v>2625</v>
      </c>
      <c r="B2914" s="1">
        <v>909724</v>
      </c>
      <c r="C2914" s="1">
        <v>3100</v>
      </c>
      <c r="D2914" s="2">
        <v>42459</v>
      </c>
      <c r="E2914" s="1" t="s">
        <v>18</v>
      </c>
      <c r="F2914" t="str">
        <f>HYPERLINK("http://www.sec.gov/Archives/edgar/data/909724/0000909724-16-000056-index.html")</f>
        <v>http://www.sec.gov/Archives/edgar/data/909724/0000909724-16-000056-index.html</v>
      </c>
    </row>
    <row r="2915" spans="1:6" x14ac:dyDescent="0.2">
      <c r="A2915" t="s">
        <v>2626</v>
      </c>
      <c r="B2915" s="1">
        <v>911148</v>
      </c>
      <c r="C2915" s="1">
        <v>6500</v>
      </c>
      <c r="D2915" s="2">
        <v>42459</v>
      </c>
      <c r="E2915" s="1" t="s">
        <v>18</v>
      </c>
      <c r="F2915" t="str">
        <f>HYPERLINK("http://www.sec.gov/Archives/edgar/data/911148/0001144204-16-091416-index.html")</f>
        <v>http://www.sec.gov/Archives/edgar/data/911148/0001144204-16-091416-index.html</v>
      </c>
    </row>
    <row r="2916" spans="1:6" x14ac:dyDescent="0.2">
      <c r="A2916" t="s">
        <v>2627</v>
      </c>
      <c r="B2916" s="1">
        <v>911649</v>
      </c>
      <c r="C2916" s="1">
        <v>2890</v>
      </c>
      <c r="D2916" s="2">
        <v>42459</v>
      </c>
      <c r="E2916" s="1" t="s">
        <v>18</v>
      </c>
      <c r="F2916" t="str">
        <f>HYPERLINK("http://www.sec.gov/Archives/edgar/data/911649/0001571049-16-013468-index.html")</f>
        <v>http://www.sec.gov/Archives/edgar/data/911649/0001571049-16-013468-index.html</v>
      </c>
    </row>
    <row r="2917" spans="1:6" x14ac:dyDescent="0.2">
      <c r="A2917" t="s">
        <v>2628</v>
      </c>
      <c r="B2917" s="1">
        <v>914139</v>
      </c>
      <c r="C2917" s="1">
        <v>3663</v>
      </c>
      <c r="D2917" s="2">
        <v>42459</v>
      </c>
      <c r="E2917" s="1" t="s">
        <v>18</v>
      </c>
      <c r="F2917" t="str">
        <f>HYPERLINK("http://www.sec.gov/Archives/edgar/data/914139/0001398344-16-011416-index.html")</f>
        <v>http://www.sec.gov/Archives/edgar/data/914139/0001398344-16-011416-index.html</v>
      </c>
    </row>
    <row r="2918" spans="1:6" x14ac:dyDescent="0.2">
      <c r="A2918" t="s">
        <v>2629</v>
      </c>
      <c r="B2918" s="1">
        <v>918543</v>
      </c>
      <c r="C2918" s="1">
        <v>7011</v>
      </c>
      <c r="D2918" s="2">
        <v>42459</v>
      </c>
      <c r="E2918" s="1" t="s">
        <v>18</v>
      </c>
      <c r="F2918" t="str">
        <f>HYPERLINK("http://www.sec.gov/Archives/edgar/data/918543/0001548123-16-000506-index.html")</f>
        <v>http://www.sec.gov/Archives/edgar/data/918543/0001548123-16-000506-index.html</v>
      </c>
    </row>
    <row r="2919" spans="1:6" x14ac:dyDescent="0.2">
      <c r="A2919" t="s">
        <v>2630</v>
      </c>
      <c r="B2919" s="1">
        <v>921114</v>
      </c>
      <c r="C2919" s="1">
        <v>2836</v>
      </c>
      <c r="D2919" s="2">
        <v>42459</v>
      </c>
      <c r="E2919" s="1" t="s">
        <v>18</v>
      </c>
      <c r="F2919" t="str">
        <f>HYPERLINK("http://www.sec.gov/Archives/edgar/data/921114/0001144204-16-091546-index.html")</f>
        <v>http://www.sec.gov/Archives/edgar/data/921114/0001144204-16-091546-index.html</v>
      </c>
    </row>
    <row r="2920" spans="1:6" x14ac:dyDescent="0.2">
      <c r="A2920" t="s">
        <v>2631</v>
      </c>
      <c r="B2920" s="1">
        <v>921864</v>
      </c>
      <c r="C2920" s="1">
        <v>6189</v>
      </c>
      <c r="D2920" s="2">
        <v>42459</v>
      </c>
      <c r="E2920" s="1" t="s">
        <v>18</v>
      </c>
      <c r="F2920" t="str">
        <f>HYPERLINK("http://www.sec.gov/Archives/edgar/data/921864/0001193125-16-522930-index.html")</f>
        <v>http://www.sec.gov/Archives/edgar/data/921864/0001193125-16-522930-index.html</v>
      </c>
    </row>
    <row r="2921" spans="1:6" x14ac:dyDescent="0.2">
      <c r="A2921" t="s">
        <v>2632</v>
      </c>
      <c r="B2921" s="1">
        <v>922247</v>
      </c>
      <c r="C2921" s="1">
        <v>2860</v>
      </c>
      <c r="D2921" s="2">
        <v>42459</v>
      </c>
      <c r="E2921" s="1" t="s">
        <v>18</v>
      </c>
      <c r="F2921" t="str">
        <f>HYPERLINK("http://www.sec.gov/Archives/edgar/data/922247/0001213900-16-012052-index.html")</f>
        <v>http://www.sec.gov/Archives/edgar/data/922247/0001213900-16-012052-index.html</v>
      </c>
    </row>
    <row r="2922" spans="1:6" x14ac:dyDescent="0.2">
      <c r="A2922" t="s">
        <v>2633</v>
      </c>
      <c r="B2922" s="1">
        <v>926617</v>
      </c>
      <c r="C2922" s="1">
        <v>2835</v>
      </c>
      <c r="D2922" s="2">
        <v>42459</v>
      </c>
      <c r="E2922" s="1" t="s">
        <v>18</v>
      </c>
      <c r="F2922" t="str">
        <f>HYPERLINK("http://www.sec.gov/Archives/edgar/data/926617/0000926617-16-000083-index.html")</f>
        <v>http://www.sec.gov/Archives/edgar/data/926617/0000926617-16-000083-index.html</v>
      </c>
    </row>
    <row r="2923" spans="1:6" x14ac:dyDescent="0.2">
      <c r="A2923" t="s">
        <v>2634</v>
      </c>
      <c r="B2923" s="1">
        <v>926761</v>
      </c>
      <c r="C2923" s="1">
        <v>7948</v>
      </c>
      <c r="D2923" s="2">
        <v>42459</v>
      </c>
      <c r="E2923" s="1" t="s">
        <v>18</v>
      </c>
      <c r="F2923" t="str">
        <f>HYPERLINK("http://www.sec.gov/Archives/edgar/data/926761/0000897101-16-002102-index.html")</f>
        <v>http://www.sec.gov/Archives/edgar/data/926761/0000897101-16-002102-index.html</v>
      </c>
    </row>
    <row r="2924" spans="1:6" x14ac:dyDescent="0.2">
      <c r="A2924" t="s">
        <v>2635</v>
      </c>
      <c r="B2924" s="1">
        <v>930245</v>
      </c>
      <c r="C2924" s="1">
        <v>5900</v>
      </c>
      <c r="D2924" s="2">
        <v>42459</v>
      </c>
      <c r="E2924" s="1" t="s">
        <v>18</v>
      </c>
      <c r="F2924" t="str">
        <f>HYPERLINK("http://www.sec.gov/Archives/edgar/data/930245/0001263279-16-000019-index.html")</f>
        <v>http://www.sec.gov/Archives/edgar/data/930245/0001263279-16-000019-index.html</v>
      </c>
    </row>
    <row r="2925" spans="1:6" x14ac:dyDescent="0.2">
      <c r="A2925" t="s">
        <v>489</v>
      </c>
      <c r="B2925" s="1">
        <v>933972</v>
      </c>
      <c r="C2925" s="1">
        <v>3621</v>
      </c>
      <c r="D2925" s="2">
        <v>42459</v>
      </c>
      <c r="E2925" s="1" t="s">
        <v>18</v>
      </c>
      <c r="F2925" t="str">
        <f>HYPERLINK("http://www.sec.gov/Archives/edgar/data/933972/0001575705-16-000103-index.html")</f>
        <v>http://www.sec.gov/Archives/edgar/data/933972/0001575705-16-000103-index.html</v>
      </c>
    </row>
    <row r="2926" spans="1:6" x14ac:dyDescent="0.2">
      <c r="A2926" t="s">
        <v>2636</v>
      </c>
      <c r="B2926" s="1">
        <v>934543</v>
      </c>
      <c r="C2926" s="1">
        <v>6500</v>
      </c>
      <c r="D2926" s="2">
        <v>42459</v>
      </c>
      <c r="E2926" s="1" t="s">
        <v>18</v>
      </c>
      <c r="F2926" t="str">
        <f>HYPERLINK("http://www.sec.gov/Archives/edgar/data/934543/0000934543-16-000035-index.html")</f>
        <v>http://www.sec.gov/Archives/edgar/data/934543/0000934543-16-000035-index.html</v>
      </c>
    </row>
    <row r="2927" spans="1:6" x14ac:dyDescent="0.2">
      <c r="A2927" t="s">
        <v>2637</v>
      </c>
      <c r="B2927" s="1">
        <v>943861</v>
      </c>
      <c r="C2927" s="1">
        <v>1311</v>
      </c>
      <c r="D2927" s="2">
        <v>42459</v>
      </c>
      <c r="E2927" s="1" t="s">
        <v>18</v>
      </c>
      <c r="F2927" t="str">
        <f>HYPERLINK("http://www.sec.gov/Archives/edgar/data/943861/0001564590-16-015670-index.html")</f>
        <v>http://www.sec.gov/Archives/edgar/data/943861/0001564590-16-015670-index.html</v>
      </c>
    </row>
    <row r="2928" spans="1:6" x14ac:dyDescent="0.2">
      <c r="A2928" t="s">
        <v>2638</v>
      </c>
      <c r="B2928" s="1">
        <v>944130</v>
      </c>
      <c r="C2928" s="1">
        <v>6199</v>
      </c>
      <c r="D2928" s="2">
        <v>42459</v>
      </c>
      <c r="E2928" s="1" t="s">
        <v>18</v>
      </c>
      <c r="F2928" t="str">
        <f>HYPERLINK("http://www.sec.gov/Archives/edgar/data/944130/0000944130-16-000056-index.html")</f>
        <v>http://www.sec.gov/Archives/edgar/data/944130/0000944130-16-000056-index.html</v>
      </c>
    </row>
    <row r="2929" spans="1:6" x14ac:dyDescent="0.2">
      <c r="A2929" t="s">
        <v>2639</v>
      </c>
      <c r="B2929" s="1">
        <v>945384</v>
      </c>
      <c r="C2929" s="1">
        <v>7371</v>
      </c>
      <c r="D2929" s="2">
        <v>42459</v>
      </c>
      <c r="E2929" s="1" t="s">
        <v>18</v>
      </c>
      <c r="F2929" t="str">
        <f>HYPERLINK("http://www.sec.gov/Archives/edgar/data/945384/0001354488-16-006771-index.html")</f>
        <v>http://www.sec.gov/Archives/edgar/data/945384/0001354488-16-006771-index.html</v>
      </c>
    </row>
    <row r="2930" spans="1:6" x14ac:dyDescent="0.2">
      <c r="A2930" t="s">
        <v>2640</v>
      </c>
      <c r="B2930" s="1">
        <v>945989</v>
      </c>
      <c r="C2930" s="1">
        <v>7372</v>
      </c>
      <c r="D2930" s="2">
        <v>42459</v>
      </c>
      <c r="E2930" s="1" t="s">
        <v>18</v>
      </c>
      <c r="F2930" t="str">
        <f>HYPERLINK("http://www.sec.gov/Archives/edgar/data/945989/0000950159-16-000505-index.html")</f>
        <v>http://www.sec.gov/Archives/edgar/data/945989/0000950159-16-000505-index.html</v>
      </c>
    </row>
    <row r="2931" spans="1:6" x14ac:dyDescent="0.2">
      <c r="A2931" t="s">
        <v>2641</v>
      </c>
      <c r="B2931" s="1">
        <v>946563</v>
      </c>
      <c r="C2931" s="1">
        <v>3841</v>
      </c>
      <c r="D2931" s="2">
        <v>42459</v>
      </c>
      <c r="E2931" s="1" t="s">
        <v>18</v>
      </c>
      <c r="F2931" t="str">
        <f>HYPERLINK("http://www.sec.gov/Archives/edgar/data/946563/0001104659-16-108770-index.html")</f>
        <v>http://www.sec.gov/Archives/edgar/data/946563/0001104659-16-108770-index.html</v>
      </c>
    </row>
    <row r="2932" spans="1:6" x14ac:dyDescent="0.2">
      <c r="A2932" t="s">
        <v>2642</v>
      </c>
      <c r="B2932" s="1">
        <v>948072</v>
      </c>
      <c r="C2932" s="1">
        <v>8000</v>
      </c>
      <c r="D2932" s="2">
        <v>42459</v>
      </c>
      <c r="E2932" s="1" t="s">
        <v>18</v>
      </c>
      <c r="F2932" t="str">
        <f>HYPERLINK("http://www.sec.gov/Archives/edgar/data/948072/0001140361-16-059508-index.html")</f>
        <v>http://www.sec.gov/Archives/edgar/data/948072/0001140361-16-059508-index.html</v>
      </c>
    </row>
    <row r="2933" spans="1:6" x14ac:dyDescent="0.2">
      <c r="A2933" t="s">
        <v>2643</v>
      </c>
      <c r="B2933" s="1">
        <v>948320</v>
      </c>
      <c r="C2933" s="1">
        <v>2833</v>
      </c>
      <c r="D2933" s="2">
        <v>42459</v>
      </c>
      <c r="E2933" s="1" t="s">
        <v>18</v>
      </c>
      <c r="F2933" t="str">
        <f>HYPERLINK("http://www.sec.gov/Archives/edgar/data/948320/0001213900-16-011978-index.html")</f>
        <v>http://www.sec.gov/Archives/edgar/data/948320/0001213900-16-011978-index.html</v>
      </c>
    </row>
    <row r="2934" spans="1:6" x14ac:dyDescent="0.2">
      <c r="A2934" t="s">
        <v>2644</v>
      </c>
      <c r="B2934" s="1">
        <v>949428</v>
      </c>
      <c r="C2934" s="1">
        <v>3564</v>
      </c>
      <c r="D2934" s="2">
        <v>42459</v>
      </c>
      <c r="E2934" s="1" t="s">
        <v>18</v>
      </c>
      <c r="F2934" t="str">
        <f>HYPERLINK("http://www.sec.gov/Archives/edgar/data/949428/0001047469-16-011746-index.html")</f>
        <v>http://www.sec.gov/Archives/edgar/data/949428/0001047469-16-011746-index.html</v>
      </c>
    </row>
    <row r="2935" spans="1:6" x14ac:dyDescent="0.2">
      <c r="A2935" t="s">
        <v>2645</v>
      </c>
      <c r="B2935" s="1">
        <v>949961</v>
      </c>
      <c r="C2935" s="1">
        <v>6798</v>
      </c>
      <c r="D2935" s="2">
        <v>42459</v>
      </c>
      <c r="E2935" s="1" t="s">
        <v>18</v>
      </c>
      <c r="F2935" t="str">
        <f>HYPERLINK("http://www.sec.gov/Archives/edgar/data/949961/0001387131-16-004815-index.html")</f>
        <v>http://www.sec.gov/Archives/edgar/data/949961/0001387131-16-004815-index.html</v>
      </c>
    </row>
    <row r="2936" spans="1:6" x14ac:dyDescent="0.2">
      <c r="A2936" t="s">
        <v>2646</v>
      </c>
      <c r="B2936" s="1">
        <v>95953</v>
      </c>
      <c r="C2936" s="1">
        <v>3317</v>
      </c>
      <c r="D2936" s="2">
        <v>42459</v>
      </c>
      <c r="E2936" s="1" t="s">
        <v>18</v>
      </c>
      <c r="F2936" t="str">
        <f>HYPERLINK("http://www.sec.gov/Archives/edgar/data/95953/0000095953-16-000165-index.html")</f>
        <v>http://www.sec.gov/Archives/edgar/data/95953/0000095953-16-000165-index.html</v>
      </c>
    </row>
    <row r="2937" spans="1:6" x14ac:dyDescent="0.2">
      <c r="A2937" t="s">
        <v>2647</v>
      </c>
      <c r="B2937" s="1">
        <v>97148</v>
      </c>
      <c r="C2937" s="1">
        <v>6792</v>
      </c>
      <c r="D2937" s="2">
        <v>42459</v>
      </c>
      <c r="E2937" s="1" t="s">
        <v>18</v>
      </c>
      <c r="F2937" t="str">
        <f>HYPERLINK("http://www.sec.gov/Archives/edgar/data/97148/0001047469-16-011748-index.html")</f>
        <v>http://www.sec.gov/Archives/edgar/data/97148/0001047469-16-011748-index.html</v>
      </c>
    </row>
    <row r="2938" spans="1:6" x14ac:dyDescent="0.2">
      <c r="A2938" t="s">
        <v>2648</v>
      </c>
      <c r="B2938" s="1">
        <v>1465872</v>
      </c>
      <c r="C2938" s="1">
        <v>1381</v>
      </c>
      <c r="D2938" s="2">
        <v>42459</v>
      </c>
      <c r="E2938" s="1" t="s">
        <v>18</v>
      </c>
      <c r="F2938" t="str">
        <f>HYPERLINK("http://www.sec.gov/Archives/edgar/data/1465872/0001564590-16-015692-index.html")</f>
        <v>http://www.sec.gov/Archives/edgar/data/1465872/0001564590-16-015692-index.html</v>
      </c>
    </row>
    <row r="2939" spans="1:6" x14ac:dyDescent="0.2">
      <c r="A2939" t="s">
        <v>2649</v>
      </c>
      <c r="B2939" s="1">
        <v>1013706</v>
      </c>
      <c r="C2939" s="1">
        <v>8742</v>
      </c>
      <c r="D2939" s="2">
        <v>42458</v>
      </c>
      <c r="E2939" s="1" t="s">
        <v>18</v>
      </c>
      <c r="F2939" t="str">
        <f>HYPERLINK("http://www.sec.gov/Archives/edgar/data/1013706/0001171843-16-008877-index.html")</f>
        <v>http://www.sec.gov/Archives/edgar/data/1013706/0001171843-16-008877-index.html</v>
      </c>
    </row>
    <row r="2940" spans="1:6" x14ac:dyDescent="0.2">
      <c r="A2940" t="s">
        <v>2650</v>
      </c>
      <c r="B2940" s="1">
        <v>1027183</v>
      </c>
      <c r="C2940" s="1">
        <v>6022</v>
      </c>
      <c r="D2940" s="2">
        <v>42458</v>
      </c>
      <c r="E2940" s="1" t="s">
        <v>18</v>
      </c>
      <c r="F2940" t="str">
        <f>HYPERLINK("http://www.sec.gov/Archives/edgar/data/1027183/0001144204-16-090870-index.html")</f>
        <v>http://www.sec.gov/Archives/edgar/data/1027183/0001144204-16-090870-index.html</v>
      </c>
    </row>
    <row r="2941" spans="1:6" x14ac:dyDescent="0.2">
      <c r="A2941" t="s">
        <v>2651</v>
      </c>
      <c r="B2941" s="1">
        <v>1036262</v>
      </c>
      <c r="C2941" s="1">
        <v>3825</v>
      </c>
      <c r="D2941" s="2">
        <v>42458</v>
      </c>
      <c r="E2941" s="1" t="s">
        <v>18</v>
      </c>
      <c r="F2941" t="str">
        <f>HYPERLINK("http://www.sec.gov/Archives/edgar/data/1036262/0001036262-16-000039-index.html")</f>
        <v>http://www.sec.gov/Archives/edgar/data/1036262/0001036262-16-000039-index.html</v>
      </c>
    </row>
    <row r="2942" spans="1:6" x14ac:dyDescent="0.2">
      <c r="A2942" t="s">
        <v>2652</v>
      </c>
      <c r="B2942" s="1">
        <v>1036968</v>
      </c>
      <c r="C2942" s="1">
        <v>2834</v>
      </c>
      <c r="D2942" s="2">
        <v>42458</v>
      </c>
      <c r="E2942" s="1" t="s">
        <v>18</v>
      </c>
      <c r="F2942" t="str">
        <f>HYPERLINK("http://www.sec.gov/Archives/edgar/data/1036968/0001564590-16-015516-index.html")</f>
        <v>http://www.sec.gov/Archives/edgar/data/1036968/0001564590-16-015516-index.html</v>
      </c>
    </row>
    <row r="2943" spans="1:6" x14ac:dyDescent="0.2">
      <c r="A2943" t="s">
        <v>2653</v>
      </c>
      <c r="B2943" s="1">
        <v>1040799</v>
      </c>
      <c r="C2943" s="1">
        <v>6022</v>
      </c>
      <c r="D2943" s="2">
        <v>42458</v>
      </c>
      <c r="E2943" s="1" t="s">
        <v>18</v>
      </c>
      <c r="F2943" t="str">
        <f>HYPERLINK("http://www.sec.gov/Archives/edgar/data/1040799/0001040799-16-000015-index.html")</f>
        <v>http://www.sec.gov/Archives/edgar/data/1040799/0001040799-16-000015-index.html</v>
      </c>
    </row>
    <row r="2944" spans="1:6" x14ac:dyDescent="0.2">
      <c r="A2944" t="s">
        <v>2654</v>
      </c>
      <c r="B2944" s="1">
        <v>1042074</v>
      </c>
      <c r="C2944" s="1">
        <v>2834</v>
      </c>
      <c r="D2944" s="2">
        <v>42458</v>
      </c>
      <c r="E2944" s="1" t="s">
        <v>18</v>
      </c>
      <c r="F2944" t="str">
        <f>HYPERLINK("http://www.sec.gov/Archives/edgar/data/1042074/0001193125-16-521392-index.html")</f>
        <v>http://www.sec.gov/Archives/edgar/data/1042074/0001193125-16-521392-index.html</v>
      </c>
    </row>
    <row r="2945" spans="1:6" x14ac:dyDescent="0.2">
      <c r="A2945" t="s">
        <v>2655</v>
      </c>
      <c r="B2945" s="1">
        <v>1043951</v>
      </c>
      <c r="C2945" s="1">
        <v>6221</v>
      </c>
      <c r="D2945" s="2">
        <v>42458</v>
      </c>
      <c r="E2945" s="1" t="s">
        <v>18</v>
      </c>
      <c r="F2945" t="str">
        <f>HYPERLINK("http://www.sec.gov/Archives/edgar/data/1043951/0001043951-16-000065-index.html")</f>
        <v>http://www.sec.gov/Archives/edgar/data/1043951/0001043951-16-000065-index.html</v>
      </c>
    </row>
    <row r="2946" spans="1:6" x14ac:dyDescent="0.2">
      <c r="A2946" t="s">
        <v>2656</v>
      </c>
      <c r="B2946" s="1">
        <v>1052354</v>
      </c>
      <c r="C2946" s="1">
        <v>6221</v>
      </c>
      <c r="D2946" s="2">
        <v>42458</v>
      </c>
      <c r="E2946" s="1" t="s">
        <v>18</v>
      </c>
      <c r="F2946" t="str">
        <f>HYPERLINK("http://www.sec.gov/Archives/edgar/data/1052354/0001193125-16-520728-index.html")</f>
        <v>http://www.sec.gov/Archives/edgar/data/1052354/0001193125-16-520728-index.html</v>
      </c>
    </row>
    <row r="2947" spans="1:6" x14ac:dyDescent="0.2">
      <c r="A2947" t="s">
        <v>2657</v>
      </c>
      <c r="B2947" s="1">
        <v>1066764</v>
      </c>
      <c r="C2947" s="1">
        <v>8060</v>
      </c>
      <c r="D2947" s="2">
        <v>42458</v>
      </c>
      <c r="E2947" s="1" t="s">
        <v>18</v>
      </c>
      <c r="F2947" t="str">
        <f>HYPERLINK("http://www.sec.gov/Archives/edgar/data/1066764/0001185185-16-004041-index.html")</f>
        <v>http://www.sec.gov/Archives/edgar/data/1066764/0001185185-16-004041-index.html</v>
      </c>
    </row>
    <row r="2948" spans="1:6" x14ac:dyDescent="0.2">
      <c r="A2948" t="s">
        <v>2140</v>
      </c>
      <c r="B2948" s="1">
        <v>1069394</v>
      </c>
      <c r="C2948" s="1">
        <v>2890</v>
      </c>
      <c r="D2948" s="2">
        <v>42458</v>
      </c>
      <c r="E2948" s="1" t="s">
        <v>18</v>
      </c>
      <c r="F2948" t="str">
        <f>HYPERLINK("http://www.sec.gov/Archives/edgar/data/1069394/0001354488-16-006741-index.html")</f>
        <v>http://www.sec.gov/Archives/edgar/data/1069394/0001354488-16-006741-index.html</v>
      </c>
    </row>
    <row r="2949" spans="1:6" x14ac:dyDescent="0.2">
      <c r="A2949" t="s">
        <v>2658</v>
      </c>
      <c r="B2949" s="1">
        <v>1070296</v>
      </c>
      <c r="C2949" s="1">
        <v>6035</v>
      </c>
      <c r="D2949" s="2">
        <v>42458</v>
      </c>
      <c r="E2949" s="1" t="s">
        <v>18</v>
      </c>
      <c r="F2949" t="str">
        <f>HYPERLINK("http://www.sec.gov/Archives/edgar/data/1070296/0001171843-16-008855-index.html")</f>
        <v>http://www.sec.gov/Archives/edgar/data/1070296/0001171843-16-008855-index.html</v>
      </c>
    </row>
    <row r="2950" spans="1:6" x14ac:dyDescent="0.2">
      <c r="A2950" t="s">
        <v>2659</v>
      </c>
      <c r="B2950" s="1">
        <v>1082198</v>
      </c>
      <c r="C2950" s="1">
        <v>1520</v>
      </c>
      <c r="D2950" s="2">
        <v>42458</v>
      </c>
      <c r="E2950" s="1" t="s">
        <v>18</v>
      </c>
      <c r="F2950" t="str">
        <f>HYPERLINK("http://www.sec.gov/Archives/edgar/data/1082198/0001376474-16-000608-index.html")</f>
        <v>http://www.sec.gov/Archives/edgar/data/1082198/0001376474-16-000608-index.html</v>
      </c>
    </row>
    <row r="2951" spans="1:6" x14ac:dyDescent="0.2">
      <c r="A2951" t="s">
        <v>2660</v>
      </c>
      <c r="B2951" s="1">
        <v>1089531</v>
      </c>
      <c r="C2951" s="1">
        <v>7389</v>
      </c>
      <c r="D2951" s="2">
        <v>42458</v>
      </c>
      <c r="E2951" s="1" t="s">
        <v>18</v>
      </c>
      <c r="F2951" t="str">
        <f>HYPERLINK("http://www.sec.gov/Archives/edgar/data/1089531/0001144204-16-090736-index.html")</f>
        <v>http://www.sec.gov/Archives/edgar/data/1089531/0001144204-16-090736-index.html</v>
      </c>
    </row>
    <row r="2952" spans="1:6" x14ac:dyDescent="0.2">
      <c r="A2952" t="s">
        <v>2661</v>
      </c>
      <c r="B2952" s="1">
        <v>109198</v>
      </c>
      <c r="C2952" s="1">
        <v>5651</v>
      </c>
      <c r="D2952" s="2">
        <v>42458</v>
      </c>
      <c r="E2952" s="1" t="s">
        <v>18</v>
      </c>
      <c r="F2952" t="str">
        <f>HYPERLINK("http://www.sec.gov/Archives/edgar/data/109198/0001193125-16-521424-index.html")</f>
        <v>http://www.sec.gov/Archives/edgar/data/109198/0001193125-16-521424-index.html</v>
      </c>
    </row>
    <row r="2953" spans="1:6" x14ac:dyDescent="0.2">
      <c r="A2953" t="s">
        <v>2662</v>
      </c>
      <c r="B2953" s="1">
        <v>1101026</v>
      </c>
      <c r="C2953" s="1">
        <v>2000</v>
      </c>
      <c r="D2953" s="2">
        <v>42458</v>
      </c>
      <c r="E2953" s="1" t="s">
        <v>18</v>
      </c>
      <c r="F2953" t="str">
        <f>HYPERLINK("http://www.sec.gov/Archives/edgar/data/1101026/0001078782-16-002508-index.html")</f>
        <v>http://www.sec.gov/Archives/edgar/data/1101026/0001078782-16-002508-index.html</v>
      </c>
    </row>
    <row r="2954" spans="1:6" x14ac:dyDescent="0.2">
      <c r="A2954" t="s">
        <v>2663</v>
      </c>
      <c r="B2954" s="1">
        <v>1110607</v>
      </c>
      <c r="C2954" s="1">
        <v>3533</v>
      </c>
      <c r="D2954" s="2">
        <v>42458</v>
      </c>
      <c r="E2954" s="1" t="s">
        <v>18</v>
      </c>
      <c r="F2954" t="str">
        <f>HYPERLINK("http://www.sec.gov/Archives/edgar/data/1110607/0001019687-16-005611-index.html")</f>
        <v>http://www.sec.gov/Archives/edgar/data/1110607/0001019687-16-005611-index.html</v>
      </c>
    </row>
    <row r="2955" spans="1:6" x14ac:dyDescent="0.2">
      <c r="A2955" t="s">
        <v>2664</v>
      </c>
      <c r="B2955" s="1">
        <v>1121702</v>
      </c>
      <c r="C2955" s="1">
        <v>3080</v>
      </c>
      <c r="D2955" s="2">
        <v>42458</v>
      </c>
      <c r="E2955" s="1" t="s">
        <v>18</v>
      </c>
      <c r="F2955" t="str">
        <f>HYPERLINK("http://www.sec.gov/Archives/edgar/data/1121702/0001121702-16-000055-index.html")</f>
        <v>http://www.sec.gov/Archives/edgar/data/1121702/0001121702-16-000055-index.html</v>
      </c>
    </row>
    <row r="2956" spans="1:6" x14ac:dyDescent="0.2">
      <c r="A2956" t="s">
        <v>2665</v>
      </c>
      <c r="B2956" s="1">
        <v>1130166</v>
      </c>
      <c r="C2956" s="1">
        <v>2834</v>
      </c>
      <c r="D2956" s="2">
        <v>42458</v>
      </c>
      <c r="E2956" s="1" t="s">
        <v>18</v>
      </c>
      <c r="F2956" t="str">
        <f>HYPERLINK("http://www.sec.gov/Archives/edgar/data/1130166/0001571049-16-013439-index.html")</f>
        <v>http://www.sec.gov/Archives/edgar/data/1130166/0001571049-16-013439-index.html</v>
      </c>
    </row>
    <row r="2957" spans="1:6" x14ac:dyDescent="0.2">
      <c r="A2957" t="s">
        <v>2666</v>
      </c>
      <c r="B2957" s="1">
        <v>1131903</v>
      </c>
      <c r="C2957" s="1">
        <v>7374</v>
      </c>
      <c r="D2957" s="2">
        <v>42458</v>
      </c>
      <c r="E2957" s="1" t="s">
        <v>18</v>
      </c>
      <c r="F2957" t="str">
        <f>HYPERLINK("http://www.sec.gov/Archives/edgar/data/1131903/0001096906-16-001498-index.html")</f>
        <v>http://www.sec.gov/Archives/edgar/data/1131903/0001096906-16-001498-index.html</v>
      </c>
    </row>
    <row r="2958" spans="1:6" x14ac:dyDescent="0.2">
      <c r="A2958" t="s">
        <v>2667</v>
      </c>
      <c r="B2958" s="1">
        <v>1135361</v>
      </c>
      <c r="C2958" s="1">
        <v>4911</v>
      </c>
      <c r="D2958" s="2">
        <v>42458</v>
      </c>
      <c r="E2958" s="1" t="s">
        <v>18</v>
      </c>
      <c r="F2958" t="str">
        <f>HYPERLINK("http://www.sec.gov/Archives/edgar/data/1135361/0001135361-16-000019-index.html")</f>
        <v>http://www.sec.gov/Archives/edgar/data/1135361/0001135361-16-000019-index.html</v>
      </c>
    </row>
    <row r="2959" spans="1:6" x14ac:dyDescent="0.2">
      <c r="A2959" t="s">
        <v>2668</v>
      </c>
      <c r="B2959" s="1">
        <v>1135906</v>
      </c>
      <c r="C2959" s="1">
        <v>2834</v>
      </c>
      <c r="D2959" s="2">
        <v>42458</v>
      </c>
      <c r="E2959" s="1" t="s">
        <v>18</v>
      </c>
      <c r="F2959" t="str">
        <f>HYPERLINK("http://www.sec.gov/Archives/edgar/data/1135906/0001558370-16-004428-index.html")</f>
        <v>http://www.sec.gov/Archives/edgar/data/1135906/0001558370-16-004428-index.html</v>
      </c>
    </row>
    <row r="2960" spans="1:6" x14ac:dyDescent="0.2">
      <c r="A2960" t="s">
        <v>2669</v>
      </c>
      <c r="B2960" s="1">
        <v>1141197</v>
      </c>
      <c r="C2960" s="1">
        <v>1311</v>
      </c>
      <c r="D2960" s="2">
        <v>42458</v>
      </c>
      <c r="E2960" s="1" t="s">
        <v>18</v>
      </c>
      <c r="F2960" t="str">
        <f>HYPERLINK("http://www.sec.gov/Archives/edgar/data/1141197/0001354488-16-006745-index.html")</f>
        <v>http://www.sec.gov/Archives/edgar/data/1141197/0001354488-16-006745-index.html</v>
      </c>
    </row>
    <row r="2961" spans="1:6" x14ac:dyDescent="0.2">
      <c r="A2961" t="s">
        <v>2670</v>
      </c>
      <c r="B2961" s="1">
        <v>1142129</v>
      </c>
      <c r="C2961" s="1">
        <v>4911</v>
      </c>
      <c r="D2961" s="2">
        <v>42458</v>
      </c>
      <c r="E2961" s="1" t="s">
        <v>18</v>
      </c>
      <c r="F2961" t="str">
        <f>HYPERLINK("http://www.sec.gov/Archives/edgar/data/1142129/0001493152-16-008335-index.html")</f>
        <v>http://www.sec.gov/Archives/edgar/data/1142129/0001493152-16-008335-index.html</v>
      </c>
    </row>
    <row r="2962" spans="1:6" x14ac:dyDescent="0.2">
      <c r="A2962" t="s">
        <v>2671</v>
      </c>
      <c r="B2962" s="1">
        <v>1145765</v>
      </c>
      <c r="C2962" s="1">
        <v>6221</v>
      </c>
      <c r="D2962" s="2">
        <v>42458</v>
      </c>
      <c r="E2962" s="1" t="s">
        <v>18</v>
      </c>
      <c r="F2962" t="str">
        <f>HYPERLINK("http://www.sec.gov/Archives/edgar/data/1145765/0001144204-16-090955-index.html")</f>
        <v>http://www.sec.gov/Archives/edgar/data/1145765/0001144204-16-090955-index.html</v>
      </c>
    </row>
    <row r="2963" spans="1:6" x14ac:dyDescent="0.2">
      <c r="A2963" t="s">
        <v>2672</v>
      </c>
      <c r="B2963" s="1">
        <v>1163321</v>
      </c>
      <c r="C2963" s="1">
        <v>6189</v>
      </c>
      <c r="D2963" s="2">
        <v>42458</v>
      </c>
      <c r="E2963" s="1" t="s">
        <v>18</v>
      </c>
      <c r="F2963" t="str">
        <f>HYPERLINK("http://www.sec.gov/Archives/edgar/data/1163321/0001193125-16-521573-index.html")</f>
        <v>http://www.sec.gov/Archives/edgar/data/1163321/0001193125-16-521573-index.html</v>
      </c>
    </row>
    <row r="2964" spans="1:6" x14ac:dyDescent="0.2">
      <c r="A2964" t="s">
        <v>2673</v>
      </c>
      <c r="B2964" s="1">
        <v>1169264</v>
      </c>
      <c r="C2964" s="1">
        <v>4899</v>
      </c>
      <c r="D2964" s="2">
        <v>42458</v>
      </c>
      <c r="E2964" s="1" t="s">
        <v>18</v>
      </c>
      <c r="F2964" t="str">
        <f>HYPERLINK("http://www.sec.gov/Archives/edgar/data/1169264/0001169264-16-000032-index.html")</f>
        <v>http://www.sec.gov/Archives/edgar/data/1169264/0001169264-16-000032-index.html</v>
      </c>
    </row>
    <row r="2965" spans="1:6" x14ac:dyDescent="0.2">
      <c r="A2965" t="s">
        <v>2674</v>
      </c>
      <c r="B2965" s="1">
        <v>1171662</v>
      </c>
      <c r="C2965" s="1">
        <v>6321</v>
      </c>
      <c r="D2965" s="2">
        <v>42458</v>
      </c>
      <c r="E2965" s="1" t="s">
        <v>18</v>
      </c>
      <c r="F2965" t="str">
        <f>HYPERLINK("http://www.sec.gov/Archives/edgar/data/1171662/0001140361-16-059220-index.html")</f>
        <v>http://www.sec.gov/Archives/edgar/data/1171662/0001140361-16-059220-index.html</v>
      </c>
    </row>
    <row r="2966" spans="1:6" x14ac:dyDescent="0.2">
      <c r="A2966" t="s">
        <v>2675</v>
      </c>
      <c r="B2966" s="1">
        <v>1211805</v>
      </c>
      <c r="C2966" s="1">
        <v>3845</v>
      </c>
      <c r="D2966" s="2">
        <v>42458</v>
      </c>
      <c r="E2966" s="1" t="s">
        <v>42</v>
      </c>
      <c r="F2966" t="str">
        <f>HYPERLINK("http://www.sec.gov/Archives/edgar/data/1211805/0001213900-16-011915-index.html")</f>
        <v>http://www.sec.gov/Archives/edgar/data/1211805/0001213900-16-011915-index.html</v>
      </c>
    </row>
    <row r="2967" spans="1:6" x14ac:dyDescent="0.2">
      <c r="A2967" t="s">
        <v>1596</v>
      </c>
      <c r="B2967" s="1">
        <v>1217234</v>
      </c>
      <c r="C2967" s="1">
        <v>8071</v>
      </c>
      <c r="D2967" s="2">
        <v>42458</v>
      </c>
      <c r="E2967" s="1" t="s">
        <v>18</v>
      </c>
      <c r="F2967" t="str">
        <f>HYPERLINK("http://www.sec.gov/Archives/edgar/data/1217234/0001564590-16-015429-index.html")</f>
        <v>http://www.sec.gov/Archives/edgar/data/1217234/0001564590-16-015429-index.html</v>
      </c>
    </row>
    <row r="2968" spans="1:6" x14ac:dyDescent="0.2">
      <c r="A2968" t="s">
        <v>2676</v>
      </c>
      <c r="B2968" s="1">
        <v>1223389</v>
      </c>
      <c r="C2968" s="1">
        <v>5731</v>
      </c>
      <c r="D2968" s="2">
        <v>42458</v>
      </c>
      <c r="E2968" s="1" t="s">
        <v>18</v>
      </c>
      <c r="F2968" t="str">
        <f>HYPERLINK("http://www.sec.gov/Archives/edgar/data/1223389/0001223389-16-000083-index.html")</f>
        <v>http://www.sec.gov/Archives/edgar/data/1223389/0001223389-16-000083-index.html</v>
      </c>
    </row>
    <row r="2969" spans="1:6" x14ac:dyDescent="0.2">
      <c r="A2969" t="s">
        <v>2677</v>
      </c>
      <c r="B2969" s="1">
        <v>1223533</v>
      </c>
      <c r="C2969" s="1">
        <v>6500</v>
      </c>
      <c r="D2969" s="2">
        <v>42458</v>
      </c>
      <c r="E2969" s="1" t="s">
        <v>18</v>
      </c>
      <c r="F2969" t="str">
        <f>HYPERLINK("http://www.sec.gov/Archives/edgar/data/1223533/0001391609-16-000415-index.html")</f>
        <v>http://www.sec.gov/Archives/edgar/data/1223533/0001391609-16-000415-index.html</v>
      </c>
    </row>
    <row r="2970" spans="1:6" x14ac:dyDescent="0.2">
      <c r="A2970" t="s">
        <v>2678</v>
      </c>
      <c r="B2970" s="1">
        <v>12239</v>
      </c>
      <c r="C2970" s="1">
        <v>6794</v>
      </c>
      <c r="D2970" s="2">
        <v>42458</v>
      </c>
      <c r="E2970" s="1" t="s">
        <v>18</v>
      </c>
      <c r="F2970" t="str">
        <f>HYPERLINK("http://www.sec.gov/Archives/edgar/data/12239/0001615774-16-004672-index.html")</f>
        <v>http://www.sec.gov/Archives/edgar/data/12239/0001615774-16-004672-index.html</v>
      </c>
    </row>
    <row r="2971" spans="1:6" x14ac:dyDescent="0.2">
      <c r="A2971" t="s">
        <v>2679</v>
      </c>
      <c r="B2971" s="1">
        <v>1239819</v>
      </c>
      <c r="C2971" s="1">
        <v>8731</v>
      </c>
      <c r="D2971" s="2">
        <v>42458</v>
      </c>
      <c r="E2971" s="1" t="s">
        <v>18</v>
      </c>
      <c r="F2971" t="str">
        <f>HYPERLINK("http://www.sec.gov/Archives/edgar/data/1239819/0001239819-16-000112-index.html")</f>
        <v>http://www.sec.gov/Archives/edgar/data/1239819/0001239819-16-000112-index.html</v>
      </c>
    </row>
    <row r="2972" spans="1:6" x14ac:dyDescent="0.2">
      <c r="A2972" t="s">
        <v>2680</v>
      </c>
      <c r="B2972" s="1">
        <v>1272754</v>
      </c>
      <c r="C2972" s="1">
        <v>6021</v>
      </c>
      <c r="D2972" s="2">
        <v>42458</v>
      </c>
      <c r="E2972" s="1" t="s">
        <v>18</v>
      </c>
      <c r="F2972" t="str">
        <f>HYPERLINK("http://www.sec.gov/Archives/edgar/data/1272754/0001185185-16-004039-index.html")</f>
        <v>http://www.sec.gov/Archives/edgar/data/1272754/0001185185-16-004039-index.html</v>
      </c>
    </row>
    <row r="2973" spans="1:6" x14ac:dyDescent="0.2">
      <c r="A2973" t="s">
        <v>2681</v>
      </c>
      <c r="B2973" s="1">
        <v>1287808</v>
      </c>
      <c r="C2973" s="1">
        <v>8711</v>
      </c>
      <c r="D2973" s="2">
        <v>42458</v>
      </c>
      <c r="E2973" s="1" t="s">
        <v>18</v>
      </c>
      <c r="F2973" t="str">
        <f>HYPERLINK("http://www.sec.gov/Archives/edgar/data/1287808/0001047469-16-011694-index.html")</f>
        <v>http://www.sec.gov/Archives/edgar/data/1287808/0001047469-16-011694-index.html</v>
      </c>
    </row>
    <row r="2974" spans="1:6" x14ac:dyDescent="0.2">
      <c r="A2974" t="s">
        <v>2682</v>
      </c>
      <c r="B2974" s="1">
        <v>1288776</v>
      </c>
      <c r="C2974" s="1">
        <v>7370</v>
      </c>
      <c r="D2974" s="2">
        <v>42458</v>
      </c>
      <c r="E2974" s="1" t="s">
        <v>42</v>
      </c>
      <c r="F2974" t="str">
        <f>HYPERLINK("http://www.sec.gov/Archives/edgar/data/1288776/0001193125-16-520367-index.html")</f>
        <v>http://www.sec.gov/Archives/edgar/data/1288776/0001193125-16-520367-index.html</v>
      </c>
    </row>
    <row r="2975" spans="1:6" x14ac:dyDescent="0.2">
      <c r="A2975" t="s">
        <v>2683</v>
      </c>
      <c r="B2975" s="1">
        <v>1290200</v>
      </c>
      <c r="C2975" s="1">
        <v>6189</v>
      </c>
      <c r="D2975" s="2">
        <v>42458</v>
      </c>
      <c r="E2975" s="1" t="s">
        <v>18</v>
      </c>
      <c r="F2975" t="str">
        <f>HYPERLINK("http://www.sec.gov/Archives/edgar/data/1290200/0001144204-16-090936-index.html")</f>
        <v>http://www.sec.gov/Archives/edgar/data/1290200/0001144204-16-090936-index.html</v>
      </c>
    </row>
    <row r="2976" spans="1:6" x14ac:dyDescent="0.2">
      <c r="A2976" t="s">
        <v>2684</v>
      </c>
      <c r="B2976" s="1">
        <v>1290205</v>
      </c>
      <c r="C2976" s="1">
        <v>6189</v>
      </c>
      <c r="D2976" s="2">
        <v>42458</v>
      </c>
      <c r="E2976" s="1" t="s">
        <v>18</v>
      </c>
      <c r="F2976" t="str">
        <f>HYPERLINK("http://www.sec.gov/Archives/edgar/data/1290205/0001144204-16-090936-index.html")</f>
        <v>http://www.sec.gov/Archives/edgar/data/1290205/0001144204-16-090936-index.html</v>
      </c>
    </row>
    <row r="2977" spans="1:6" x14ac:dyDescent="0.2">
      <c r="A2977" t="s">
        <v>2685</v>
      </c>
      <c r="B2977" s="1">
        <v>1326380</v>
      </c>
      <c r="C2977" s="1">
        <v>5734</v>
      </c>
      <c r="D2977" s="2">
        <v>42458</v>
      </c>
      <c r="E2977" s="1" t="s">
        <v>42</v>
      </c>
      <c r="F2977" t="str">
        <f>HYPERLINK("http://www.sec.gov/Archives/edgar/data/1326380/0001326380-16-000323-index.html")</f>
        <v>http://www.sec.gov/Archives/edgar/data/1326380/0001326380-16-000323-index.html</v>
      </c>
    </row>
    <row r="2978" spans="1:6" x14ac:dyDescent="0.2">
      <c r="A2978" t="s">
        <v>2686</v>
      </c>
      <c r="B2978" s="1">
        <v>1338095</v>
      </c>
      <c r="C2978" s="1">
        <v>2834</v>
      </c>
      <c r="D2978" s="2">
        <v>42458</v>
      </c>
      <c r="E2978" s="1" t="s">
        <v>18</v>
      </c>
      <c r="F2978" t="str">
        <f>HYPERLINK("http://www.sec.gov/Archives/edgar/data/1338095/0001338095-16-000103-index.html")</f>
        <v>http://www.sec.gov/Archives/edgar/data/1338095/0001338095-16-000103-index.html</v>
      </c>
    </row>
    <row r="2979" spans="1:6" x14ac:dyDescent="0.2">
      <c r="A2979" t="s">
        <v>2687</v>
      </c>
      <c r="B2979" s="1">
        <v>1353282</v>
      </c>
      <c r="C2979" s="1">
        <v>6221</v>
      </c>
      <c r="D2979" s="2">
        <v>42458</v>
      </c>
      <c r="E2979" s="1" t="s">
        <v>18</v>
      </c>
      <c r="F2979" t="str">
        <f>HYPERLINK("http://www.sec.gov/Archives/edgar/data/1353282/0001193125-16-521453-index.html")</f>
        <v>http://www.sec.gov/Archives/edgar/data/1353282/0001193125-16-521453-index.html</v>
      </c>
    </row>
    <row r="2980" spans="1:6" x14ac:dyDescent="0.2">
      <c r="A2980" t="s">
        <v>2688</v>
      </c>
      <c r="B2980" s="1">
        <v>1354174</v>
      </c>
      <c r="C2980" s="1">
        <v>6022</v>
      </c>
      <c r="D2980" s="2">
        <v>42458</v>
      </c>
      <c r="E2980" s="1" t="s">
        <v>18</v>
      </c>
      <c r="F2980" t="str">
        <f>HYPERLINK("http://www.sec.gov/Archives/edgar/data/1354174/0001437749-16-028553-index.html")</f>
        <v>http://www.sec.gov/Archives/edgar/data/1354174/0001437749-16-028553-index.html</v>
      </c>
    </row>
    <row r="2981" spans="1:6" x14ac:dyDescent="0.2">
      <c r="A2981" t="s">
        <v>2689</v>
      </c>
      <c r="B2981" s="1">
        <v>1368308</v>
      </c>
      <c r="C2981" s="1">
        <v>3690</v>
      </c>
      <c r="D2981" s="2">
        <v>42458</v>
      </c>
      <c r="E2981" s="1" t="s">
        <v>18</v>
      </c>
      <c r="F2981" t="str">
        <f>HYPERLINK("http://www.sec.gov/Archives/edgar/data/1368308/0001144204-16-090977-index.html")</f>
        <v>http://www.sec.gov/Archives/edgar/data/1368308/0001144204-16-090977-index.html</v>
      </c>
    </row>
    <row r="2982" spans="1:6" x14ac:dyDescent="0.2">
      <c r="A2982" t="s">
        <v>2690</v>
      </c>
      <c r="B2982" s="1">
        <v>1368757</v>
      </c>
      <c r="C2982" s="1">
        <v>6798</v>
      </c>
      <c r="D2982" s="2">
        <v>42458</v>
      </c>
      <c r="E2982" s="1" t="s">
        <v>18</v>
      </c>
      <c r="F2982" t="str">
        <f>HYPERLINK("http://www.sec.gov/Archives/edgar/data/1368757/0001564590-16-015488-index.html")</f>
        <v>http://www.sec.gov/Archives/edgar/data/1368757/0001564590-16-015488-index.html</v>
      </c>
    </row>
    <row r="2983" spans="1:6" x14ac:dyDescent="0.2">
      <c r="A2983" t="s">
        <v>2691</v>
      </c>
      <c r="B2983" s="1">
        <v>1375685</v>
      </c>
      <c r="C2983" s="1">
        <v>6770</v>
      </c>
      <c r="D2983" s="2">
        <v>42458</v>
      </c>
      <c r="E2983" s="1" t="s">
        <v>18</v>
      </c>
      <c r="F2983" t="str">
        <f>HYPERLINK("http://www.sec.gov/Archives/edgar/data/1375685/0001213900-16-011959-index.html")</f>
        <v>http://www.sec.gov/Archives/edgar/data/1375685/0001213900-16-011959-index.html</v>
      </c>
    </row>
    <row r="2984" spans="1:6" x14ac:dyDescent="0.2">
      <c r="A2984" t="s">
        <v>2692</v>
      </c>
      <c r="B2984" s="1">
        <v>1385310</v>
      </c>
      <c r="C2984" s="1">
        <v>3564</v>
      </c>
      <c r="D2984" s="2">
        <v>42458</v>
      </c>
      <c r="E2984" s="1" t="s">
        <v>42</v>
      </c>
      <c r="F2984" t="str">
        <f>HYPERLINK("http://www.sec.gov/Archives/edgar/data/1385310/0001549212-16-000045-index.html")</f>
        <v>http://www.sec.gov/Archives/edgar/data/1385310/0001549212-16-000045-index.html</v>
      </c>
    </row>
    <row r="2985" spans="1:6" x14ac:dyDescent="0.2">
      <c r="A2985" t="s">
        <v>2693</v>
      </c>
      <c r="B2985" s="1">
        <v>1386926</v>
      </c>
      <c r="C2985" s="1">
        <v>6199</v>
      </c>
      <c r="D2985" s="2">
        <v>42458</v>
      </c>
      <c r="E2985" s="1" t="s">
        <v>18</v>
      </c>
      <c r="F2985" t="str">
        <f>HYPERLINK("http://www.sec.gov/Archives/edgar/data/1386926/0001386926-16-000008-index.html")</f>
        <v>http://www.sec.gov/Archives/edgar/data/1386926/0001386926-16-000008-index.html</v>
      </c>
    </row>
    <row r="2986" spans="1:6" x14ac:dyDescent="0.2">
      <c r="A2986" t="s">
        <v>2694</v>
      </c>
      <c r="B2986" s="1">
        <v>1391933</v>
      </c>
      <c r="C2986" s="1">
        <v>6036</v>
      </c>
      <c r="D2986" s="2">
        <v>42458</v>
      </c>
      <c r="E2986" s="1" t="s">
        <v>18</v>
      </c>
      <c r="F2986" t="str">
        <f>HYPERLINK("http://www.sec.gov/Archives/edgar/data/1391933/0000927089-16-000786-index.html")</f>
        <v>http://www.sec.gov/Archives/edgar/data/1391933/0000927089-16-000786-index.html</v>
      </c>
    </row>
    <row r="2987" spans="1:6" x14ac:dyDescent="0.2">
      <c r="A2987" t="s">
        <v>2695</v>
      </c>
      <c r="B2987" s="1">
        <v>1407041</v>
      </c>
      <c r="C2987" s="1">
        <v>5900</v>
      </c>
      <c r="D2987" s="2">
        <v>42458</v>
      </c>
      <c r="E2987" s="1" t="s">
        <v>18</v>
      </c>
      <c r="F2987" t="str">
        <f>HYPERLINK("http://www.sec.gov/Archives/edgar/data/1407041/0001477932-16-009229-index.html")</f>
        <v>http://www.sec.gov/Archives/edgar/data/1407041/0001477932-16-009229-index.html</v>
      </c>
    </row>
    <row r="2988" spans="1:6" x14ac:dyDescent="0.2">
      <c r="A2988" t="s">
        <v>2696</v>
      </c>
      <c r="B2988" s="1">
        <v>1414964</v>
      </c>
      <c r="C2988" s="1">
        <v>6500</v>
      </c>
      <c r="D2988" s="2">
        <v>42458</v>
      </c>
      <c r="E2988" s="1" t="s">
        <v>18</v>
      </c>
      <c r="F2988" t="str">
        <f>HYPERLINK("http://www.sec.gov/Archives/edgar/data/1414964/0001414964-16-000026-index.html")</f>
        <v>http://www.sec.gov/Archives/edgar/data/1414964/0001414964-16-000026-index.html</v>
      </c>
    </row>
    <row r="2989" spans="1:6" x14ac:dyDescent="0.2">
      <c r="A2989" t="s">
        <v>2697</v>
      </c>
      <c r="B2989" s="1">
        <v>1419806</v>
      </c>
      <c r="C2989" s="1">
        <v>1040</v>
      </c>
      <c r="D2989" s="2">
        <v>42458</v>
      </c>
      <c r="E2989" s="1" t="s">
        <v>18</v>
      </c>
      <c r="F2989" t="str">
        <f>HYPERLINK("http://www.sec.gov/Archives/edgar/data/1419806/0001052918-16-000897-index.html")</f>
        <v>http://www.sec.gov/Archives/edgar/data/1419806/0001052918-16-000897-index.html</v>
      </c>
    </row>
    <row r="2990" spans="1:6" x14ac:dyDescent="0.2">
      <c r="A2990" t="s">
        <v>2698</v>
      </c>
      <c r="B2990" s="1">
        <v>1428040</v>
      </c>
      <c r="C2990" s="1">
        <v>6221</v>
      </c>
      <c r="D2990" s="2">
        <v>42458</v>
      </c>
      <c r="E2990" s="1" t="s">
        <v>18</v>
      </c>
      <c r="F2990" t="str">
        <f>HYPERLINK("http://www.sec.gov/Archives/edgar/data/1428040/0001193125-16-520740-index.html")</f>
        <v>http://www.sec.gov/Archives/edgar/data/1428040/0001193125-16-520740-index.html</v>
      </c>
    </row>
    <row r="2991" spans="1:6" x14ac:dyDescent="0.2">
      <c r="A2991" t="s">
        <v>2699</v>
      </c>
      <c r="B2991" s="1">
        <v>1444706</v>
      </c>
      <c r="C2991" s="1">
        <v>1000</v>
      </c>
      <c r="D2991" s="2">
        <v>42458</v>
      </c>
      <c r="E2991" s="1" t="s">
        <v>18</v>
      </c>
      <c r="F2991" t="str">
        <f>HYPERLINK("http://www.sec.gov/Archives/edgar/data/1444706/0001144204-16-090992-index.html")</f>
        <v>http://www.sec.gov/Archives/edgar/data/1444706/0001144204-16-090992-index.html</v>
      </c>
    </row>
    <row r="2992" spans="1:6" x14ac:dyDescent="0.2">
      <c r="A2992" t="s">
        <v>2700</v>
      </c>
      <c r="B2992" s="1">
        <v>1451512</v>
      </c>
      <c r="C2992" s="1">
        <v>3510</v>
      </c>
      <c r="D2992" s="2">
        <v>42458</v>
      </c>
      <c r="E2992" s="1" t="s">
        <v>18</v>
      </c>
      <c r="F2992" t="str">
        <f>HYPERLINK("http://www.sec.gov/Archives/edgar/data/1451512/0001477932-16-009227-index.html")</f>
        <v>http://www.sec.gov/Archives/edgar/data/1451512/0001477932-16-009227-index.html</v>
      </c>
    </row>
    <row r="2993" spans="1:6" x14ac:dyDescent="0.2">
      <c r="A2993" t="s">
        <v>2701</v>
      </c>
      <c r="B2993" s="1">
        <v>14707</v>
      </c>
      <c r="C2993" s="1">
        <v>3140</v>
      </c>
      <c r="D2993" s="2">
        <v>42458</v>
      </c>
      <c r="E2993" s="1" t="s">
        <v>18</v>
      </c>
      <c r="F2993" t="str">
        <f>HYPERLINK("http://www.sec.gov/Archives/edgar/data/14707/0000014707-16-000090-index.html")</f>
        <v>http://www.sec.gov/Archives/edgar/data/14707/0000014707-16-000090-index.html</v>
      </c>
    </row>
    <row r="2994" spans="1:6" x14ac:dyDescent="0.2">
      <c r="A2994" t="s">
        <v>2702</v>
      </c>
      <c r="B2994" s="1">
        <v>1477336</v>
      </c>
      <c r="C2994" s="1">
        <v>6189</v>
      </c>
      <c r="D2994" s="2">
        <v>42458</v>
      </c>
      <c r="E2994" s="1" t="s">
        <v>18</v>
      </c>
      <c r="F2994" t="str">
        <f>HYPERLINK("http://www.sec.gov/Archives/edgar/data/1477336/0001550460-16-000037-index.html")</f>
        <v>http://www.sec.gov/Archives/edgar/data/1477336/0001550460-16-000037-index.html</v>
      </c>
    </row>
    <row r="2995" spans="1:6" x14ac:dyDescent="0.2">
      <c r="A2995" t="s">
        <v>2702</v>
      </c>
      <c r="B2995" s="1">
        <v>1477336</v>
      </c>
      <c r="C2995" s="1">
        <v>6189</v>
      </c>
      <c r="D2995" s="2">
        <v>42458</v>
      </c>
      <c r="E2995" s="1" t="s">
        <v>18</v>
      </c>
      <c r="F2995" t="str">
        <f>HYPERLINK("http://www.sec.gov/Archives/edgar/data/1477336/0001555611-16-000039-index.html")</f>
        <v>http://www.sec.gov/Archives/edgar/data/1477336/0001555611-16-000039-index.html</v>
      </c>
    </row>
    <row r="2996" spans="1:6" x14ac:dyDescent="0.2">
      <c r="A2996" t="s">
        <v>2702</v>
      </c>
      <c r="B2996" s="1">
        <v>1477336</v>
      </c>
      <c r="C2996" s="1">
        <v>6189</v>
      </c>
      <c r="D2996" s="2">
        <v>42458</v>
      </c>
      <c r="E2996" s="1" t="s">
        <v>18</v>
      </c>
      <c r="F2996" t="str">
        <f>HYPERLINK("http://www.sec.gov/Archives/edgar/data/1477336/0001560194-16-000041-index.html")</f>
        <v>http://www.sec.gov/Archives/edgar/data/1477336/0001560194-16-000041-index.html</v>
      </c>
    </row>
    <row r="2997" spans="1:6" x14ac:dyDescent="0.2">
      <c r="A2997" t="s">
        <v>2702</v>
      </c>
      <c r="B2997" s="1">
        <v>1477336</v>
      </c>
      <c r="C2997" s="1">
        <v>6189</v>
      </c>
      <c r="D2997" s="2">
        <v>42458</v>
      </c>
      <c r="E2997" s="1" t="s">
        <v>18</v>
      </c>
      <c r="F2997" t="str">
        <f>HYPERLINK("http://www.sec.gov/Archives/edgar/data/1477336/0001573229-16-000041-index.html")</f>
        <v>http://www.sec.gov/Archives/edgar/data/1477336/0001573229-16-000041-index.html</v>
      </c>
    </row>
    <row r="2998" spans="1:6" x14ac:dyDescent="0.2">
      <c r="A2998" t="s">
        <v>2702</v>
      </c>
      <c r="B2998" s="1">
        <v>1477336</v>
      </c>
      <c r="C2998" s="1">
        <v>6189</v>
      </c>
      <c r="D2998" s="2">
        <v>42458</v>
      </c>
      <c r="E2998" s="1" t="s">
        <v>18</v>
      </c>
      <c r="F2998" t="str">
        <f>HYPERLINK("http://www.sec.gov/Archives/edgar/data/1477336/0001589680-16-000039-index.html")</f>
        <v>http://www.sec.gov/Archives/edgar/data/1477336/0001589680-16-000039-index.html</v>
      </c>
    </row>
    <row r="2999" spans="1:6" x14ac:dyDescent="0.2">
      <c r="A2999" t="s">
        <v>2702</v>
      </c>
      <c r="B2999" s="1">
        <v>1477336</v>
      </c>
      <c r="C2999" s="1">
        <v>6189</v>
      </c>
      <c r="D2999" s="2">
        <v>42458</v>
      </c>
      <c r="E2999" s="1" t="s">
        <v>18</v>
      </c>
      <c r="F2999" t="str">
        <f>HYPERLINK("http://www.sec.gov/Archives/edgar/data/1477336/0001600571-16-000043-index.html")</f>
        <v>http://www.sec.gov/Archives/edgar/data/1477336/0001600571-16-000043-index.html</v>
      </c>
    </row>
    <row r="3000" spans="1:6" x14ac:dyDescent="0.2">
      <c r="A3000" t="s">
        <v>2702</v>
      </c>
      <c r="B3000" s="1">
        <v>1477336</v>
      </c>
      <c r="C3000" s="1">
        <v>6189</v>
      </c>
      <c r="D3000" s="2">
        <v>42458</v>
      </c>
      <c r="E3000" s="1" t="s">
        <v>18</v>
      </c>
      <c r="F3000" t="str">
        <f>HYPERLINK("http://www.sec.gov/Archives/edgar/data/1477336/0001610148-16-000042-index.html")</f>
        <v>http://www.sec.gov/Archives/edgar/data/1477336/0001610148-16-000042-index.html</v>
      </c>
    </row>
    <row r="3001" spans="1:6" x14ac:dyDescent="0.2">
      <c r="A3001" t="s">
        <v>2702</v>
      </c>
      <c r="B3001" s="1">
        <v>1477336</v>
      </c>
      <c r="C3001" s="1">
        <v>6189</v>
      </c>
      <c r="D3001" s="2">
        <v>42458</v>
      </c>
      <c r="E3001" s="1" t="s">
        <v>18</v>
      </c>
      <c r="F3001" t="str">
        <f>HYPERLINK("http://www.sec.gov/Archives/edgar/data/1477336/0001619406-16-000043-index.html")</f>
        <v>http://www.sec.gov/Archives/edgar/data/1477336/0001619406-16-000043-index.html</v>
      </c>
    </row>
    <row r="3002" spans="1:6" x14ac:dyDescent="0.2">
      <c r="A3002" t="s">
        <v>2702</v>
      </c>
      <c r="B3002" s="1">
        <v>1477336</v>
      </c>
      <c r="C3002" s="1">
        <v>6189</v>
      </c>
      <c r="D3002" s="2">
        <v>42458</v>
      </c>
      <c r="E3002" s="1" t="s">
        <v>18</v>
      </c>
      <c r="F3002" t="str">
        <f>HYPERLINK("http://www.sec.gov/Archives/edgar/data/1477336/0001621990-16-000044-index.html")</f>
        <v>http://www.sec.gov/Archives/edgar/data/1477336/0001621990-16-000044-index.html</v>
      </c>
    </row>
    <row r="3003" spans="1:6" x14ac:dyDescent="0.2">
      <c r="A3003" t="s">
        <v>2702</v>
      </c>
      <c r="B3003" s="1">
        <v>1477336</v>
      </c>
      <c r="C3003" s="1">
        <v>6189</v>
      </c>
      <c r="D3003" s="2">
        <v>42458</v>
      </c>
      <c r="E3003" s="1" t="s">
        <v>18</v>
      </c>
      <c r="F3003" t="str">
        <f>HYPERLINK("http://www.sec.gov/Archives/edgar/data/1477336/0001627213-16-000039-index.html")</f>
        <v>http://www.sec.gov/Archives/edgar/data/1477336/0001627213-16-000039-index.html</v>
      </c>
    </row>
    <row r="3004" spans="1:6" x14ac:dyDescent="0.2">
      <c r="A3004" t="s">
        <v>2702</v>
      </c>
      <c r="B3004" s="1">
        <v>1477336</v>
      </c>
      <c r="C3004" s="1">
        <v>6189</v>
      </c>
      <c r="D3004" s="2">
        <v>42458</v>
      </c>
      <c r="E3004" s="1" t="s">
        <v>18</v>
      </c>
      <c r="F3004" t="str">
        <f>HYPERLINK("http://www.sec.gov/Archives/edgar/data/1477336/0001637287-16-000029-index.html")</f>
        <v>http://www.sec.gov/Archives/edgar/data/1477336/0001637287-16-000029-index.html</v>
      </c>
    </row>
    <row r="3005" spans="1:6" x14ac:dyDescent="0.2">
      <c r="A3005" t="s">
        <v>2702</v>
      </c>
      <c r="B3005" s="1">
        <v>1477336</v>
      </c>
      <c r="C3005" s="1">
        <v>6189</v>
      </c>
      <c r="D3005" s="2">
        <v>42458</v>
      </c>
      <c r="E3005" s="1" t="s">
        <v>18</v>
      </c>
      <c r="F3005" t="str">
        <f>HYPERLINK("http://www.sec.gov/Archives/edgar/data/1477336/0001647353-16-000024-index.html")</f>
        <v>http://www.sec.gov/Archives/edgar/data/1477336/0001647353-16-000024-index.html</v>
      </c>
    </row>
    <row r="3006" spans="1:6" x14ac:dyDescent="0.2">
      <c r="A3006" t="s">
        <v>2702</v>
      </c>
      <c r="B3006" s="1">
        <v>1477336</v>
      </c>
      <c r="C3006" s="1">
        <v>6189</v>
      </c>
      <c r="D3006" s="2">
        <v>42458</v>
      </c>
      <c r="E3006" s="1" t="s">
        <v>18</v>
      </c>
      <c r="F3006" t="str">
        <f>HYPERLINK("http://www.sec.gov/Archives/edgar/data/1477336/0001652201-16-000018-index.html")</f>
        <v>http://www.sec.gov/Archives/edgar/data/1477336/0001652201-16-000018-index.html</v>
      </c>
    </row>
    <row r="3007" spans="1:6" x14ac:dyDescent="0.2">
      <c r="A3007" t="s">
        <v>2703</v>
      </c>
      <c r="B3007" s="1">
        <v>1486279</v>
      </c>
      <c r="C3007" s="1">
        <v>6500</v>
      </c>
      <c r="D3007" s="2">
        <v>42458</v>
      </c>
      <c r="E3007" s="1" t="s">
        <v>18</v>
      </c>
      <c r="F3007" t="str">
        <f>HYPERLINK("http://www.sec.gov/Archives/edgar/data/1486279/0001486279-16-000016-index.html")</f>
        <v>http://www.sec.gov/Archives/edgar/data/1486279/0001486279-16-000016-index.html</v>
      </c>
    </row>
    <row r="3008" spans="1:6" x14ac:dyDescent="0.2">
      <c r="A3008" t="s">
        <v>948</v>
      </c>
      <c r="B3008" s="1">
        <v>1491525</v>
      </c>
      <c r="C3008" s="1">
        <v>5090</v>
      </c>
      <c r="D3008" s="2">
        <v>42458</v>
      </c>
      <c r="E3008" s="1" t="s">
        <v>42</v>
      </c>
      <c r="F3008" t="str">
        <f>HYPERLINK("http://www.sec.gov/Archives/edgar/data/1491525/0001065949-16-000360-index.html")</f>
        <v>http://www.sec.gov/Archives/edgar/data/1491525/0001065949-16-000360-index.html</v>
      </c>
    </row>
    <row r="3009" spans="1:6" x14ac:dyDescent="0.2">
      <c r="A3009" t="s">
        <v>2704</v>
      </c>
      <c r="B3009" s="1">
        <v>1494413</v>
      </c>
      <c r="C3009" s="1">
        <v>7389</v>
      </c>
      <c r="D3009" s="2">
        <v>42458</v>
      </c>
      <c r="E3009" s="1" t="s">
        <v>18</v>
      </c>
      <c r="F3009" t="str">
        <f>HYPERLINK("http://www.sec.gov/Archives/edgar/data/1494413/0001511164-16-000709-index.html")</f>
        <v>http://www.sec.gov/Archives/edgar/data/1494413/0001511164-16-000709-index.html</v>
      </c>
    </row>
    <row r="3010" spans="1:6" x14ac:dyDescent="0.2">
      <c r="A3010" t="s">
        <v>2705</v>
      </c>
      <c r="B3010" s="1">
        <v>1495320</v>
      </c>
      <c r="C3010" s="1">
        <v>3100</v>
      </c>
      <c r="D3010" s="2">
        <v>42458</v>
      </c>
      <c r="E3010" s="1" t="s">
        <v>18</v>
      </c>
      <c r="F3010" t="str">
        <f>HYPERLINK("http://www.sec.gov/Archives/edgar/data/1495320/0001495320-16-000057-index.html")</f>
        <v>http://www.sec.gov/Archives/edgar/data/1495320/0001495320-16-000057-index.html</v>
      </c>
    </row>
    <row r="3011" spans="1:6" x14ac:dyDescent="0.2">
      <c r="A3011" t="s">
        <v>2706</v>
      </c>
      <c r="B3011" s="1">
        <v>1496454</v>
      </c>
      <c r="C3011" s="1">
        <v>6798</v>
      </c>
      <c r="D3011" s="2">
        <v>42458</v>
      </c>
      <c r="E3011" s="1" t="s">
        <v>42</v>
      </c>
      <c r="F3011" t="str">
        <f>HYPERLINK("http://www.sec.gov/Archives/edgar/data/1496454/0001564590-16-015511-index.html")</f>
        <v>http://www.sec.gov/Archives/edgar/data/1496454/0001564590-16-015511-index.html</v>
      </c>
    </row>
    <row r="3012" spans="1:6" x14ac:dyDescent="0.2">
      <c r="A3012" t="s">
        <v>2707</v>
      </c>
      <c r="B3012" s="1">
        <v>1498542</v>
      </c>
      <c r="C3012" s="1">
        <v>6798</v>
      </c>
      <c r="D3012" s="2">
        <v>42458</v>
      </c>
      <c r="E3012" s="1" t="s">
        <v>18</v>
      </c>
      <c r="F3012" t="str">
        <f>HYPERLINK("http://www.sec.gov/Archives/edgar/data/1498542/0001498542-16-000073-index.html")</f>
        <v>http://www.sec.gov/Archives/edgar/data/1498542/0001498542-16-000073-index.html</v>
      </c>
    </row>
    <row r="3013" spans="1:6" x14ac:dyDescent="0.2">
      <c r="A3013" t="s">
        <v>2708</v>
      </c>
      <c r="B3013" s="1">
        <v>1500837</v>
      </c>
      <c r="C3013" s="1">
        <v>6035</v>
      </c>
      <c r="D3013" s="2">
        <v>42458</v>
      </c>
      <c r="E3013" s="1" t="s">
        <v>18</v>
      </c>
      <c r="F3013" t="str">
        <f>HYPERLINK("http://www.sec.gov/Archives/edgar/data/1500837/0000927089-16-000787-index.html")</f>
        <v>http://www.sec.gov/Archives/edgar/data/1500837/0000927089-16-000787-index.html</v>
      </c>
    </row>
    <row r="3014" spans="1:6" x14ac:dyDescent="0.2">
      <c r="A3014" t="s">
        <v>2709</v>
      </c>
      <c r="B3014" s="1">
        <v>1518403</v>
      </c>
      <c r="C3014" s="1">
        <v>1311</v>
      </c>
      <c r="D3014" s="2">
        <v>42458</v>
      </c>
      <c r="E3014" s="1" t="s">
        <v>18</v>
      </c>
      <c r="F3014" t="str">
        <f>HYPERLINK("http://www.sec.gov/Archives/edgar/data/1518403/0001518403-16-000035-index.html")</f>
        <v>http://www.sec.gov/Archives/edgar/data/1518403/0001518403-16-000035-index.html</v>
      </c>
    </row>
    <row r="3015" spans="1:6" x14ac:dyDescent="0.2">
      <c r="A3015" t="s">
        <v>2710</v>
      </c>
      <c r="B3015" s="1">
        <v>1525769</v>
      </c>
      <c r="C3015" s="1">
        <v>5812</v>
      </c>
      <c r="D3015" s="2">
        <v>42458</v>
      </c>
      <c r="E3015" s="1" t="s">
        <v>18</v>
      </c>
      <c r="F3015" t="str">
        <f>HYPERLINK("http://www.sec.gov/Archives/edgar/data/1525769/0001193125-16-521591-index.html")</f>
        <v>http://www.sec.gov/Archives/edgar/data/1525769/0001193125-16-521591-index.html</v>
      </c>
    </row>
    <row r="3016" spans="1:6" x14ac:dyDescent="0.2">
      <c r="A3016" t="s">
        <v>2711</v>
      </c>
      <c r="B3016" s="1">
        <v>1532383</v>
      </c>
      <c r="C3016" s="1">
        <v>1531</v>
      </c>
      <c r="D3016" s="2">
        <v>42458</v>
      </c>
      <c r="E3016" s="1" t="s">
        <v>18</v>
      </c>
      <c r="F3016" t="str">
        <f>HYPERLINK("http://www.sec.gov/Archives/edgar/data/1532383/0001552781-16-001449-index.html")</f>
        <v>http://www.sec.gov/Archives/edgar/data/1532383/0001552781-16-001449-index.html</v>
      </c>
    </row>
    <row r="3017" spans="1:6" x14ac:dyDescent="0.2">
      <c r="A3017" t="s">
        <v>2712</v>
      </c>
      <c r="B3017" s="1">
        <v>1542299</v>
      </c>
      <c r="C3017" s="1">
        <v>6022</v>
      </c>
      <c r="D3017" s="2">
        <v>42458</v>
      </c>
      <c r="E3017" s="1" t="s">
        <v>18</v>
      </c>
      <c r="F3017" t="str">
        <f>HYPERLINK("http://www.sec.gov/Archives/edgar/data/1542299/0001558370-16-004447-index.html")</f>
        <v>http://www.sec.gov/Archives/edgar/data/1542299/0001558370-16-004447-index.html</v>
      </c>
    </row>
    <row r="3018" spans="1:6" x14ac:dyDescent="0.2">
      <c r="A3018" t="s">
        <v>2713</v>
      </c>
      <c r="B3018" s="1">
        <v>1550460</v>
      </c>
      <c r="C3018" s="1">
        <v>6189</v>
      </c>
      <c r="D3018" s="2">
        <v>42458</v>
      </c>
      <c r="E3018" s="1" t="s">
        <v>18</v>
      </c>
      <c r="F3018" t="str">
        <f>HYPERLINK("http://www.sec.gov/Archives/edgar/data/1550460/0001550460-16-000037-index.html")</f>
        <v>http://www.sec.gov/Archives/edgar/data/1550460/0001550460-16-000037-index.html</v>
      </c>
    </row>
    <row r="3019" spans="1:6" x14ac:dyDescent="0.2">
      <c r="A3019" t="s">
        <v>2714</v>
      </c>
      <c r="B3019" s="1">
        <v>1552328</v>
      </c>
      <c r="C3019" s="1">
        <v>6189</v>
      </c>
      <c r="D3019" s="2">
        <v>42458</v>
      </c>
      <c r="E3019" s="1" t="s">
        <v>18</v>
      </c>
      <c r="F3019" t="str">
        <f>HYPERLINK("http://www.sec.gov/Archives/edgar/data/1552328/0001019965-16-000357-index.html")</f>
        <v>http://www.sec.gov/Archives/edgar/data/1552328/0001019965-16-000357-index.html</v>
      </c>
    </row>
    <row r="3020" spans="1:6" x14ac:dyDescent="0.2">
      <c r="A3020" t="s">
        <v>2715</v>
      </c>
      <c r="B3020" s="1">
        <v>1552700</v>
      </c>
      <c r="C3020" s="1">
        <v>6221</v>
      </c>
      <c r="D3020" s="2">
        <v>42458</v>
      </c>
      <c r="E3020" s="1" t="s">
        <v>18</v>
      </c>
      <c r="F3020" t="str">
        <f>HYPERLINK("http://www.sec.gov/Archives/edgar/data/1552700/0001571049-16-013418-index.html")</f>
        <v>http://www.sec.gov/Archives/edgar/data/1552700/0001571049-16-013418-index.html</v>
      </c>
    </row>
    <row r="3021" spans="1:6" x14ac:dyDescent="0.2">
      <c r="A3021" t="s">
        <v>2716</v>
      </c>
      <c r="B3021" s="1">
        <v>1554776</v>
      </c>
      <c r="C3021" s="1">
        <v>6189</v>
      </c>
      <c r="D3021" s="2">
        <v>42458</v>
      </c>
      <c r="E3021" s="1" t="s">
        <v>42</v>
      </c>
      <c r="F3021" t="str">
        <f>HYPERLINK("http://www.sec.gov/Archives/edgar/data/1554776/0001056404-16-003816-index.html")</f>
        <v>http://www.sec.gov/Archives/edgar/data/1554776/0001056404-16-003816-index.html</v>
      </c>
    </row>
    <row r="3022" spans="1:6" x14ac:dyDescent="0.2">
      <c r="A3022" t="s">
        <v>2717</v>
      </c>
      <c r="B3022" s="1">
        <v>1555611</v>
      </c>
      <c r="C3022" s="1">
        <v>6189</v>
      </c>
      <c r="D3022" s="2">
        <v>42458</v>
      </c>
      <c r="E3022" s="1" t="s">
        <v>18</v>
      </c>
      <c r="F3022" t="str">
        <f>HYPERLINK("http://www.sec.gov/Archives/edgar/data/1555611/0001555611-16-000039-index.html")</f>
        <v>http://www.sec.gov/Archives/edgar/data/1555611/0001555611-16-000039-index.html</v>
      </c>
    </row>
    <row r="3023" spans="1:6" x14ac:dyDescent="0.2">
      <c r="A3023" t="s">
        <v>2718</v>
      </c>
      <c r="B3023" s="1">
        <v>1558423</v>
      </c>
      <c r="C3023" s="1">
        <v>6189</v>
      </c>
      <c r="D3023" s="2">
        <v>42458</v>
      </c>
      <c r="E3023" s="1" t="s">
        <v>18</v>
      </c>
      <c r="F3023" t="str">
        <f>HYPERLINK("http://www.sec.gov/Archives/edgar/data/1558423/0001558423-16-000021-index.html")</f>
        <v>http://www.sec.gov/Archives/edgar/data/1558423/0001558423-16-000021-index.html</v>
      </c>
    </row>
    <row r="3024" spans="1:6" x14ac:dyDescent="0.2">
      <c r="A3024" t="s">
        <v>2719</v>
      </c>
      <c r="B3024" s="1">
        <v>1558546</v>
      </c>
      <c r="C3024" s="1">
        <v>6189</v>
      </c>
      <c r="D3024" s="2">
        <v>42458</v>
      </c>
      <c r="E3024" s="1" t="s">
        <v>42</v>
      </c>
      <c r="F3024" t="str">
        <f>HYPERLINK("http://www.sec.gov/Archives/edgar/data/1558546/0001056404-16-003821-index.html")</f>
        <v>http://www.sec.gov/Archives/edgar/data/1558546/0001056404-16-003821-index.html</v>
      </c>
    </row>
    <row r="3025" spans="1:6" x14ac:dyDescent="0.2">
      <c r="A3025" t="s">
        <v>2720</v>
      </c>
      <c r="B3025" s="1">
        <v>1559450</v>
      </c>
      <c r="C3025" s="1">
        <v>6189</v>
      </c>
      <c r="D3025" s="2">
        <v>42458</v>
      </c>
      <c r="E3025" s="1" t="s">
        <v>18</v>
      </c>
      <c r="F3025" t="str">
        <f>HYPERLINK("http://www.sec.gov/Archives/edgar/data/1559450/0001019965-16-000358-index.html")</f>
        <v>http://www.sec.gov/Archives/edgar/data/1559450/0001019965-16-000358-index.html</v>
      </c>
    </row>
    <row r="3026" spans="1:6" x14ac:dyDescent="0.2">
      <c r="A3026" t="s">
        <v>2721</v>
      </c>
      <c r="B3026" s="1">
        <v>1560194</v>
      </c>
      <c r="C3026" s="1">
        <v>6189</v>
      </c>
      <c r="D3026" s="2">
        <v>42458</v>
      </c>
      <c r="E3026" s="1" t="s">
        <v>18</v>
      </c>
      <c r="F3026" t="str">
        <f>HYPERLINK("http://www.sec.gov/Archives/edgar/data/1560194/0001560194-16-000041-index.html")</f>
        <v>http://www.sec.gov/Archives/edgar/data/1560194/0001560194-16-000041-index.html</v>
      </c>
    </row>
    <row r="3027" spans="1:6" x14ac:dyDescent="0.2">
      <c r="A3027" t="s">
        <v>2722</v>
      </c>
      <c r="B3027" s="1">
        <v>1561727</v>
      </c>
      <c r="C3027" s="1">
        <v>6189</v>
      </c>
      <c r="D3027" s="2">
        <v>42458</v>
      </c>
      <c r="E3027" s="1" t="s">
        <v>42</v>
      </c>
      <c r="F3027" t="str">
        <f>HYPERLINK("http://www.sec.gov/Archives/edgar/data/1561727/0001056404-16-003823-index.html")</f>
        <v>http://www.sec.gov/Archives/edgar/data/1561727/0001056404-16-003823-index.html</v>
      </c>
    </row>
    <row r="3028" spans="1:6" x14ac:dyDescent="0.2">
      <c r="A3028" t="s">
        <v>2723</v>
      </c>
      <c r="B3028" s="1">
        <v>1563855</v>
      </c>
      <c r="C3028" s="1">
        <v>2834</v>
      </c>
      <c r="D3028" s="2">
        <v>42458</v>
      </c>
      <c r="E3028" s="1" t="s">
        <v>18</v>
      </c>
      <c r="F3028" t="str">
        <f>HYPERLINK("http://www.sec.gov/Archives/edgar/data/1563855/0001437749-16-028559-index.html")</f>
        <v>http://www.sec.gov/Archives/edgar/data/1563855/0001437749-16-028559-index.html</v>
      </c>
    </row>
    <row r="3029" spans="1:6" x14ac:dyDescent="0.2">
      <c r="A3029" t="s">
        <v>2724</v>
      </c>
      <c r="B3029" s="1">
        <v>1566265</v>
      </c>
      <c r="C3029" s="1">
        <v>1540</v>
      </c>
      <c r="D3029" s="2">
        <v>42458</v>
      </c>
      <c r="E3029" s="1" t="s">
        <v>18</v>
      </c>
      <c r="F3029" t="str">
        <f>HYPERLINK("http://www.sec.gov/Archives/edgar/data/1566265/0001213900-16-011957-index.html")</f>
        <v>http://www.sec.gov/Archives/edgar/data/1566265/0001213900-16-011957-index.html</v>
      </c>
    </row>
    <row r="3030" spans="1:6" x14ac:dyDescent="0.2">
      <c r="A3030" t="s">
        <v>2725</v>
      </c>
      <c r="B3030" s="1">
        <v>1566328</v>
      </c>
      <c r="C3030" s="1">
        <v>6189</v>
      </c>
      <c r="D3030" s="2">
        <v>42458</v>
      </c>
      <c r="E3030" s="1" t="s">
        <v>18</v>
      </c>
      <c r="F3030" t="str">
        <f>HYPERLINK("http://www.sec.gov/Archives/edgar/data/1566328/0001566328-16-000044-index.html")</f>
        <v>http://www.sec.gov/Archives/edgar/data/1566328/0001566328-16-000044-index.html</v>
      </c>
    </row>
    <row r="3031" spans="1:6" x14ac:dyDescent="0.2">
      <c r="A3031" t="s">
        <v>2726</v>
      </c>
      <c r="B3031" s="1">
        <v>1567572</v>
      </c>
      <c r="C3031" s="1">
        <v>6189</v>
      </c>
      <c r="D3031" s="2">
        <v>42458</v>
      </c>
      <c r="E3031" s="1" t="s">
        <v>18</v>
      </c>
      <c r="F3031" t="str">
        <f>HYPERLINK("http://www.sec.gov/Archives/edgar/data/1567572/0001056404-16-003819-index.html")</f>
        <v>http://www.sec.gov/Archives/edgar/data/1567572/0001056404-16-003819-index.html</v>
      </c>
    </row>
    <row r="3032" spans="1:6" x14ac:dyDescent="0.2">
      <c r="A3032" t="s">
        <v>2727</v>
      </c>
      <c r="B3032" s="1">
        <v>1567683</v>
      </c>
      <c r="C3032" s="1">
        <v>4911</v>
      </c>
      <c r="D3032" s="2">
        <v>42458</v>
      </c>
      <c r="E3032" s="1" t="s">
        <v>42</v>
      </c>
      <c r="F3032" t="str">
        <f>HYPERLINK("http://www.sec.gov/Archives/edgar/data/1567683/0001567683-16-000035-index.html")</f>
        <v>http://www.sec.gov/Archives/edgar/data/1567683/0001567683-16-000035-index.html</v>
      </c>
    </row>
    <row r="3033" spans="1:6" x14ac:dyDescent="0.2">
      <c r="A3033" t="s">
        <v>2728</v>
      </c>
      <c r="B3033" s="1">
        <v>1568079</v>
      </c>
      <c r="C3033" s="1">
        <v>1311</v>
      </c>
      <c r="D3033" s="2">
        <v>42458</v>
      </c>
      <c r="E3033" s="1" t="s">
        <v>18</v>
      </c>
      <c r="F3033" t="str">
        <f>HYPERLINK("http://www.sec.gov/Archives/edgar/data/1568079/0001079973-16-000879-index.html")</f>
        <v>http://www.sec.gov/Archives/edgar/data/1568079/0001079973-16-000879-index.html</v>
      </c>
    </row>
    <row r="3034" spans="1:6" x14ac:dyDescent="0.2">
      <c r="A3034" t="s">
        <v>2729</v>
      </c>
      <c r="B3034" s="1">
        <v>1571123</v>
      </c>
      <c r="C3034" s="1">
        <v>7373</v>
      </c>
      <c r="D3034" s="2">
        <v>42458</v>
      </c>
      <c r="E3034" s="1" t="s">
        <v>18</v>
      </c>
      <c r="F3034" t="str">
        <f>HYPERLINK("http://www.sec.gov/Archives/edgar/data/1571123/0001564590-16-015504-index.html")</f>
        <v>http://www.sec.gov/Archives/edgar/data/1571123/0001564590-16-015504-index.html</v>
      </c>
    </row>
    <row r="3035" spans="1:6" x14ac:dyDescent="0.2">
      <c r="A3035" t="s">
        <v>2730</v>
      </c>
      <c r="B3035" s="1">
        <v>1572552</v>
      </c>
      <c r="C3035" s="1">
        <v>2836</v>
      </c>
      <c r="D3035" s="2">
        <v>42458</v>
      </c>
      <c r="E3035" s="1" t="s">
        <v>18</v>
      </c>
      <c r="F3035" t="str">
        <f>HYPERLINK("http://www.sec.gov/Archives/edgar/data/1572552/0001140361-16-059357-index.html")</f>
        <v>http://www.sec.gov/Archives/edgar/data/1572552/0001140361-16-059357-index.html</v>
      </c>
    </row>
    <row r="3036" spans="1:6" x14ac:dyDescent="0.2">
      <c r="A3036" t="s">
        <v>2731</v>
      </c>
      <c r="B3036" s="1">
        <v>1572758</v>
      </c>
      <c r="C3036" s="1">
        <v>6798</v>
      </c>
      <c r="D3036" s="2">
        <v>42458</v>
      </c>
      <c r="E3036" s="1" t="s">
        <v>18</v>
      </c>
      <c r="F3036" t="str">
        <f>HYPERLINK("http://www.sec.gov/Archives/edgar/data/1572758/0001572758-16-000094-index.html")</f>
        <v>http://www.sec.gov/Archives/edgar/data/1572758/0001572758-16-000094-index.html</v>
      </c>
    </row>
    <row r="3037" spans="1:6" x14ac:dyDescent="0.2">
      <c r="A3037" t="s">
        <v>2732</v>
      </c>
      <c r="B3037" s="1">
        <v>1573229</v>
      </c>
      <c r="C3037" s="1">
        <v>6189</v>
      </c>
      <c r="D3037" s="2">
        <v>42458</v>
      </c>
      <c r="E3037" s="1" t="s">
        <v>18</v>
      </c>
      <c r="F3037" t="str">
        <f>HYPERLINK("http://www.sec.gov/Archives/edgar/data/1573229/0001573229-16-000041-index.html")</f>
        <v>http://www.sec.gov/Archives/edgar/data/1573229/0001573229-16-000041-index.html</v>
      </c>
    </row>
    <row r="3038" spans="1:6" x14ac:dyDescent="0.2">
      <c r="A3038" t="s">
        <v>2733</v>
      </c>
      <c r="B3038" s="1">
        <v>1573279</v>
      </c>
      <c r="C3038" s="1">
        <v>6189</v>
      </c>
      <c r="D3038" s="2">
        <v>42458</v>
      </c>
      <c r="E3038" s="1" t="s">
        <v>18</v>
      </c>
      <c r="F3038" t="str">
        <f>HYPERLINK("http://www.sec.gov/Archives/edgar/data/1573279/0001578443-16-000015-index.html")</f>
        <v>http://www.sec.gov/Archives/edgar/data/1573279/0001578443-16-000015-index.html</v>
      </c>
    </row>
    <row r="3039" spans="1:6" x14ac:dyDescent="0.2">
      <c r="A3039" t="s">
        <v>2734</v>
      </c>
      <c r="B3039" s="1">
        <v>1573334</v>
      </c>
      <c r="C3039" s="1">
        <v>6189</v>
      </c>
      <c r="D3039" s="2">
        <v>42458</v>
      </c>
      <c r="E3039" s="1" t="s">
        <v>18</v>
      </c>
      <c r="F3039" t="str">
        <f>HYPERLINK("http://www.sec.gov/Archives/edgar/data/1573334/0001578443-16-000015-index.html")</f>
        <v>http://www.sec.gov/Archives/edgar/data/1573334/0001578443-16-000015-index.html</v>
      </c>
    </row>
    <row r="3040" spans="1:6" x14ac:dyDescent="0.2">
      <c r="A3040" t="s">
        <v>2735</v>
      </c>
      <c r="B3040" s="1">
        <v>1573352</v>
      </c>
      <c r="C3040" s="1">
        <v>6189</v>
      </c>
      <c r="D3040" s="2">
        <v>42458</v>
      </c>
      <c r="E3040" s="1" t="s">
        <v>18</v>
      </c>
      <c r="F3040" t="str">
        <f>HYPERLINK("http://www.sec.gov/Archives/edgar/data/1573352/0001578443-16-000015-index.html")</f>
        <v>http://www.sec.gov/Archives/edgar/data/1573352/0001578443-16-000015-index.html</v>
      </c>
    </row>
    <row r="3041" spans="1:6" x14ac:dyDescent="0.2">
      <c r="A3041" t="s">
        <v>2736</v>
      </c>
      <c r="B3041" s="1">
        <v>1574963</v>
      </c>
      <c r="C3041" s="1">
        <v>5171</v>
      </c>
      <c r="D3041" s="2">
        <v>42458</v>
      </c>
      <c r="E3041" s="1" t="s">
        <v>18</v>
      </c>
      <c r="F3041" t="str">
        <f>HYPERLINK("http://www.sec.gov/Archives/edgar/data/1574963/0001144204-16-090958-index.html")</f>
        <v>http://www.sec.gov/Archives/edgar/data/1574963/0001144204-16-090958-index.html</v>
      </c>
    </row>
    <row r="3042" spans="1:6" x14ac:dyDescent="0.2">
      <c r="A3042" t="s">
        <v>2737</v>
      </c>
      <c r="B3042" s="1">
        <v>1575428</v>
      </c>
      <c r="C3042" s="1">
        <v>6798</v>
      </c>
      <c r="D3042" s="2">
        <v>42458</v>
      </c>
      <c r="E3042" s="1" t="s">
        <v>18</v>
      </c>
      <c r="F3042" t="str">
        <f>HYPERLINK("http://www.sec.gov/Archives/edgar/data/1575428/0001193125-16-521394-index.html")</f>
        <v>http://www.sec.gov/Archives/edgar/data/1575428/0001193125-16-521394-index.html</v>
      </c>
    </row>
    <row r="3043" spans="1:6" x14ac:dyDescent="0.2">
      <c r="A3043" t="s">
        <v>2738</v>
      </c>
      <c r="B3043" s="1">
        <v>1578443</v>
      </c>
      <c r="C3043" s="1">
        <v>6189</v>
      </c>
      <c r="D3043" s="2">
        <v>42458</v>
      </c>
      <c r="E3043" s="1" t="s">
        <v>18</v>
      </c>
      <c r="F3043" t="str">
        <f>HYPERLINK("http://www.sec.gov/Archives/edgar/data/1578443/0001578443-16-000015-index.html")</f>
        <v>http://www.sec.gov/Archives/edgar/data/1578443/0001578443-16-000015-index.html</v>
      </c>
    </row>
    <row r="3044" spans="1:6" x14ac:dyDescent="0.2">
      <c r="A3044" t="s">
        <v>2739</v>
      </c>
      <c r="B3044" s="1">
        <v>1579445</v>
      </c>
      <c r="C3044" s="1">
        <v>6189</v>
      </c>
      <c r="D3044" s="2">
        <v>42458</v>
      </c>
      <c r="E3044" s="1" t="s">
        <v>18</v>
      </c>
      <c r="F3044" t="str">
        <f>HYPERLINK("http://www.sec.gov/Archives/edgar/data/1579445/0001579445-16-000044-index.html")</f>
        <v>http://www.sec.gov/Archives/edgar/data/1579445/0001579445-16-000044-index.html</v>
      </c>
    </row>
    <row r="3045" spans="1:6" x14ac:dyDescent="0.2">
      <c r="A3045" t="s">
        <v>2740</v>
      </c>
      <c r="B3045" s="1">
        <v>1580891</v>
      </c>
      <c r="C3045" s="1">
        <v>6189</v>
      </c>
      <c r="D3045" s="2">
        <v>42458</v>
      </c>
      <c r="E3045" s="1" t="s">
        <v>42</v>
      </c>
      <c r="F3045" t="str">
        <f>HYPERLINK("http://www.sec.gov/Archives/edgar/data/1580891/0001056404-16-003825-index.html")</f>
        <v>http://www.sec.gov/Archives/edgar/data/1580891/0001056404-16-003825-index.html</v>
      </c>
    </row>
    <row r="3046" spans="1:6" x14ac:dyDescent="0.2">
      <c r="A3046" t="s">
        <v>2741</v>
      </c>
      <c r="B3046" s="1">
        <v>1582010</v>
      </c>
      <c r="C3046" s="1">
        <v>6189</v>
      </c>
      <c r="D3046" s="2">
        <v>42458</v>
      </c>
      <c r="E3046" s="1" t="s">
        <v>18</v>
      </c>
      <c r="F3046" t="str">
        <f>HYPERLINK("http://www.sec.gov/Archives/edgar/data/1582010/0001019965-16-000365-index.html")</f>
        <v>http://www.sec.gov/Archives/edgar/data/1582010/0001019965-16-000365-index.html</v>
      </c>
    </row>
    <row r="3047" spans="1:6" x14ac:dyDescent="0.2">
      <c r="A3047" t="s">
        <v>2742</v>
      </c>
      <c r="B3047" s="1">
        <v>1583965</v>
      </c>
      <c r="C3047" s="1">
        <v>6189</v>
      </c>
      <c r="D3047" s="2">
        <v>42458</v>
      </c>
      <c r="E3047" s="1" t="s">
        <v>18</v>
      </c>
      <c r="F3047" t="str">
        <f>HYPERLINK("http://www.sec.gov/Archives/edgar/data/1583965/0001583965-16-000043-index.html")</f>
        <v>http://www.sec.gov/Archives/edgar/data/1583965/0001583965-16-000043-index.html</v>
      </c>
    </row>
    <row r="3048" spans="1:6" x14ac:dyDescent="0.2">
      <c r="A3048" t="s">
        <v>2743</v>
      </c>
      <c r="B3048" s="1">
        <v>1584770</v>
      </c>
      <c r="C3048" s="1">
        <v>6035</v>
      </c>
      <c r="D3048" s="2">
        <v>42458</v>
      </c>
      <c r="E3048" s="1" t="s">
        <v>18</v>
      </c>
      <c r="F3048" t="str">
        <f>HYPERLINK("http://www.sec.gov/Archives/edgar/data/1584770/0001571049-16-013423-index.html")</f>
        <v>http://www.sec.gov/Archives/edgar/data/1584770/0001571049-16-013423-index.html</v>
      </c>
    </row>
    <row r="3049" spans="1:6" x14ac:dyDescent="0.2">
      <c r="A3049" t="s">
        <v>2744</v>
      </c>
      <c r="B3049" s="1">
        <v>1585219</v>
      </c>
      <c r="C3049" s="1">
        <v>6798</v>
      </c>
      <c r="D3049" s="2">
        <v>42458</v>
      </c>
      <c r="E3049" s="1" t="s">
        <v>18</v>
      </c>
      <c r="F3049" t="str">
        <f>HYPERLINK("http://www.sec.gov/Archives/edgar/data/1585219/0001585219-16-000157-index.html")</f>
        <v>http://www.sec.gov/Archives/edgar/data/1585219/0001585219-16-000157-index.html</v>
      </c>
    </row>
    <row r="3050" spans="1:6" x14ac:dyDescent="0.2">
      <c r="A3050" t="s">
        <v>2745</v>
      </c>
      <c r="B3050" s="1">
        <v>1585389</v>
      </c>
      <c r="C3050" s="1">
        <v>6798</v>
      </c>
      <c r="D3050" s="2">
        <v>42458</v>
      </c>
      <c r="E3050" s="1" t="s">
        <v>18</v>
      </c>
      <c r="F3050" t="str">
        <f>HYPERLINK("http://www.sec.gov/Archives/edgar/data/1585389/0001193125-16-521470-index.html")</f>
        <v>http://www.sec.gov/Archives/edgar/data/1585389/0001193125-16-521470-index.html</v>
      </c>
    </row>
    <row r="3051" spans="1:6" x14ac:dyDescent="0.2">
      <c r="A3051" t="s">
        <v>2746</v>
      </c>
      <c r="B3051" s="1">
        <v>1585608</v>
      </c>
      <c r="C3051" s="1">
        <v>2834</v>
      </c>
      <c r="D3051" s="2">
        <v>42458</v>
      </c>
      <c r="E3051" s="1" t="s">
        <v>18</v>
      </c>
      <c r="F3051" t="str">
        <f>HYPERLINK("http://www.sec.gov/Archives/edgar/data/1585608/0001047469-16-011700-index.html")</f>
        <v>http://www.sec.gov/Archives/edgar/data/1585608/0001047469-16-011700-index.html</v>
      </c>
    </row>
    <row r="3052" spans="1:6" x14ac:dyDescent="0.2">
      <c r="A3052" t="s">
        <v>2747</v>
      </c>
      <c r="B3052" s="1">
        <v>1587221</v>
      </c>
      <c r="C3052" s="1">
        <v>2834</v>
      </c>
      <c r="D3052" s="2">
        <v>42458</v>
      </c>
      <c r="E3052" s="1" t="s">
        <v>18</v>
      </c>
      <c r="F3052" t="str">
        <f>HYPERLINK("http://www.sec.gov/Archives/edgar/data/1587221/0001193125-16-521425-index.html")</f>
        <v>http://www.sec.gov/Archives/edgar/data/1587221/0001193125-16-521425-index.html</v>
      </c>
    </row>
    <row r="3053" spans="1:6" x14ac:dyDescent="0.2">
      <c r="A3053" t="s">
        <v>2748</v>
      </c>
      <c r="B3053" s="1">
        <v>1587981</v>
      </c>
      <c r="C3053" s="1">
        <v>6189</v>
      </c>
      <c r="D3053" s="2">
        <v>42458</v>
      </c>
      <c r="E3053" s="1" t="s">
        <v>42</v>
      </c>
      <c r="F3053" t="str">
        <f>HYPERLINK("http://www.sec.gov/Archives/edgar/data/1587981/0001056404-16-003827-index.html")</f>
        <v>http://www.sec.gov/Archives/edgar/data/1587981/0001056404-16-003827-index.html</v>
      </c>
    </row>
    <row r="3054" spans="1:6" x14ac:dyDescent="0.2">
      <c r="A3054" t="s">
        <v>2749</v>
      </c>
      <c r="B3054" s="1">
        <v>1589680</v>
      </c>
      <c r="C3054" s="1">
        <v>6189</v>
      </c>
      <c r="D3054" s="2">
        <v>42458</v>
      </c>
      <c r="E3054" s="1" t="s">
        <v>18</v>
      </c>
      <c r="F3054" t="str">
        <f>HYPERLINK("http://www.sec.gov/Archives/edgar/data/1589680/0001589680-16-000039-index.html")</f>
        <v>http://www.sec.gov/Archives/edgar/data/1589680/0001589680-16-000039-index.html</v>
      </c>
    </row>
    <row r="3055" spans="1:6" x14ac:dyDescent="0.2">
      <c r="A3055" t="s">
        <v>2750</v>
      </c>
      <c r="B3055" s="1">
        <v>1590383</v>
      </c>
      <c r="C3055" s="1">
        <v>8200</v>
      </c>
      <c r="D3055" s="2">
        <v>42458</v>
      </c>
      <c r="E3055" s="1" t="s">
        <v>18</v>
      </c>
      <c r="F3055" t="str">
        <f>HYPERLINK("http://www.sec.gov/Archives/edgar/data/1590383/0001144204-16-090961-index.html")</f>
        <v>http://www.sec.gov/Archives/edgar/data/1590383/0001144204-16-090961-index.html</v>
      </c>
    </row>
    <row r="3056" spans="1:6" x14ac:dyDescent="0.2">
      <c r="A3056" t="s">
        <v>2751</v>
      </c>
      <c r="B3056" s="1">
        <v>1590418</v>
      </c>
      <c r="C3056" s="1">
        <v>7310</v>
      </c>
      <c r="D3056" s="2">
        <v>42458</v>
      </c>
      <c r="E3056" s="1" t="s">
        <v>21</v>
      </c>
      <c r="F3056" t="str">
        <f>HYPERLINK("http://www.sec.gov/Archives/edgar/data/1590418/0001019687-16-005595-index.html")</f>
        <v>http://www.sec.gov/Archives/edgar/data/1590418/0001019687-16-005595-index.html</v>
      </c>
    </row>
    <row r="3057" spans="1:6" x14ac:dyDescent="0.2">
      <c r="A3057" t="s">
        <v>2752</v>
      </c>
      <c r="B3057" s="1">
        <v>1592264</v>
      </c>
      <c r="C3057" s="1">
        <v>6189</v>
      </c>
      <c r="D3057" s="2">
        <v>42458</v>
      </c>
      <c r="E3057" s="1" t="s">
        <v>18</v>
      </c>
      <c r="F3057" t="str">
        <f>HYPERLINK("http://www.sec.gov/Archives/edgar/data/1592264/0001592264-16-000040-index.html")</f>
        <v>http://www.sec.gov/Archives/edgar/data/1592264/0001592264-16-000040-index.html</v>
      </c>
    </row>
    <row r="3058" spans="1:6" x14ac:dyDescent="0.2">
      <c r="A3058" t="s">
        <v>2753</v>
      </c>
      <c r="B3058" s="1">
        <v>1595627</v>
      </c>
      <c r="C3058" s="1">
        <v>6798</v>
      </c>
      <c r="D3058" s="2">
        <v>42458</v>
      </c>
      <c r="E3058" s="1" t="s">
        <v>18</v>
      </c>
      <c r="F3058" t="str">
        <f>HYPERLINK("http://www.sec.gov/Archives/edgar/data/1595627/0001564590-16-015492-index.html")</f>
        <v>http://www.sec.gov/Archives/edgar/data/1595627/0001564590-16-015492-index.html</v>
      </c>
    </row>
    <row r="3059" spans="1:6" x14ac:dyDescent="0.2">
      <c r="A3059" t="s">
        <v>2754</v>
      </c>
      <c r="B3059" s="1">
        <v>1597032</v>
      </c>
      <c r="C3059" s="1">
        <v>6189</v>
      </c>
      <c r="D3059" s="2">
        <v>42458</v>
      </c>
      <c r="E3059" s="1" t="s">
        <v>18</v>
      </c>
      <c r="F3059" t="str">
        <f>HYPERLINK("http://www.sec.gov/Archives/edgar/data/1597032/0001597032-16-000041-index.html")</f>
        <v>http://www.sec.gov/Archives/edgar/data/1597032/0001597032-16-000041-index.html</v>
      </c>
    </row>
    <row r="3060" spans="1:6" x14ac:dyDescent="0.2">
      <c r="A3060" t="s">
        <v>2755</v>
      </c>
      <c r="B3060" s="1">
        <v>1597892</v>
      </c>
      <c r="C3060" s="1">
        <v>8060</v>
      </c>
      <c r="D3060" s="2">
        <v>42458</v>
      </c>
      <c r="E3060" s="1" t="s">
        <v>18</v>
      </c>
      <c r="F3060" t="str">
        <f>HYPERLINK("http://www.sec.gov/Archives/edgar/data/1597892/0001144204-16-090978-index.html")</f>
        <v>http://www.sec.gov/Archives/edgar/data/1597892/0001144204-16-090978-index.html</v>
      </c>
    </row>
    <row r="3061" spans="1:6" x14ac:dyDescent="0.2">
      <c r="A3061" t="s">
        <v>2756</v>
      </c>
      <c r="B3061" s="1">
        <v>1600571</v>
      </c>
      <c r="C3061" s="1">
        <v>6189</v>
      </c>
      <c r="D3061" s="2">
        <v>42458</v>
      </c>
      <c r="E3061" s="1" t="s">
        <v>18</v>
      </c>
      <c r="F3061" t="str">
        <f>HYPERLINK("http://www.sec.gov/Archives/edgar/data/1600571/0001600571-16-000043-index.html")</f>
        <v>http://www.sec.gov/Archives/edgar/data/1600571/0001600571-16-000043-index.html</v>
      </c>
    </row>
    <row r="3062" spans="1:6" x14ac:dyDescent="0.2">
      <c r="A3062" t="s">
        <v>706</v>
      </c>
      <c r="B3062" s="1">
        <v>1604028</v>
      </c>
      <c r="C3062" s="1">
        <v>3086</v>
      </c>
      <c r="D3062" s="2">
        <v>42458</v>
      </c>
      <c r="E3062" s="1" t="s">
        <v>18</v>
      </c>
      <c r="F3062" t="str">
        <f>HYPERLINK("http://www.sec.gov/Archives/edgar/data/1604028/0001193125-16-521419-index.html")</f>
        <v>http://www.sec.gov/Archives/edgar/data/1604028/0001193125-16-521419-index.html</v>
      </c>
    </row>
    <row r="3063" spans="1:6" x14ac:dyDescent="0.2">
      <c r="A3063" t="s">
        <v>2757</v>
      </c>
      <c r="B3063" s="1">
        <v>1604054</v>
      </c>
      <c r="C3063" s="1">
        <v>6189</v>
      </c>
      <c r="D3063" s="2">
        <v>42458</v>
      </c>
      <c r="E3063" s="1" t="s">
        <v>18</v>
      </c>
      <c r="F3063" t="str">
        <f>HYPERLINK("http://www.sec.gov/Archives/edgar/data/1604054/0001019965-16-000359-index.html")</f>
        <v>http://www.sec.gov/Archives/edgar/data/1604054/0001019965-16-000359-index.html</v>
      </c>
    </row>
    <row r="3064" spans="1:6" x14ac:dyDescent="0.2">
      <c r="A3064" t="s">
        <v>2758</v>
      </c>
      <c r="B3064" s="1">
        <v>1605435</v>
      </c>
      <c r="C3064" s="1">
        <v>6189</v>
      </c>
      <c r="D3064" s="2">
        <v>42458</v>
      </c>
      <c r="E3064" s="1" t="s">
        <v>18</v>
      </c>
      <c r="F3064" t="str">
        <f>HYPERLINK("http://www.sec.gov/Archives/edgar/data/1605435/0001605435-16-000041-index.html")</f>
        <v>http://www.sec.gov/Archives/edgar/data/1605435/0001605435-16-000041-index.html</v>
      </c>
    </row>
    <row r="3065" spans="1:6" x14ac:dyDescent="0.2">
      <c r="A3065" t="s">
        <v>2759</v>
      </c>
      <c r="B3065" s="1">
        <v>1606698</v>
      </c>
      <c r="C3065" s="1">
        <v>3669</v>
      </c>
      <c r="D3065" s="2">
        <v>42458</v>
      </c>
      <c r="E3065" s="1" t="s">
        <v>18</v>
      </c>
      <c r="F3065" t="str">
        <f>HYPERLINK("http://www.sec.gov/Archives/edgar/data/1606698/0001096906-16-001496-index.html")</f>
        <v>http://www.sec.gov/Archives/edgar/data/1606698/0001096906-16-001496-index.html</v>
      </c>
    </row>
    <row r="3066" spans="1:6" x14ac:dyDescent="0.2">
      <c r="A3066" t="s">
        <v>2760</v>
      </c>
      <c r="B3066" s="1">
        <v>1609065</v>
      </c>
      <c r="C3066" s="1">
        <v>6022</v>
      </c>
      <c r="D3066" s="2">
        <v>42458</v>
      </c>
      <c r="E3066" s="1" t="s">
        <v>18</v>
      </c>
      <c r="F3066" t="str">
        <f>HYPERLINK("http://www.sec.gov/Archives/edgar/data/1609065/0001609065-16-000054-index.html")</f>
        <v>http://www.sec.gov/Archives/edgar/data/1609065/0001609065-16-000054-index.html</v>
      </c>
    </row>
    <row r="3067" spans="1:6" x14ac:dyDescent="0.2">
      <c r="A3067" t="s">
        <v>2761</v>
      </c>
      <c r="B3067" s="1">
        <v>1610148</v>
      </c>
      <c r="C3067" s="1">
        <v>6189</v>
      </c>
      <c r="D3067" s="2">
        <v>42458</v>
      </c>
      <c r="E3067" s="1" t="s">
        <v>18</v>
      </c>
      <c r="F3067" t="str">
        <f>HYPERLINK("http://www.sec.gov/Archives/edgar/data/1610148/0001610148-16-000042-index.html")</f>
        <v>http://www.sec.gov/Archives/edgar/data/1610148/0001610148-16-000042-index.html</v>
      </c>
    </row>
    <row r="3068" spans="1:6" x14ac:dyDescent="0.2">
      <c r="A3068" t="s">
        <v>2762</v>
      </c>
      <c r="B3068" s="1">
        <v>1612226</v>
      </c>
      <c r="C3068" s="1">
        <v>6189</v>
      </c>
      <c r="D3068" s="2">
        <v>42458</v>
      </c>
      <c r="E3068" s="1" t="s">
        <v>18</v>
      </c>
      <c r="F3068" t="str">
        <f>HYPERLINK("http://www.sec.gov/Archives/edgar/data/1612226/0001019965-16-000366-index.html")</f>
        <v>http://www.sec.gov/Archives/edgar/data/1612226/0001019965-16-000366-index.html</v>
      </c>
    </row>
    <row r="3069" spans="1:6" x14ac:dyDescent="0.2">
      <c r="A3069" t="s">
        <v>2763</v>
      </c>
      <c r="B3069" s="1">
        <v>1614173</v>
      </c>
      <c r="C3069" s="1">
        <v>6189</v>
      </c>
      <c r="D3069" s="2">
        <v>42458</v>
      </c>
      <c r="E3069" s="1" t="s">
        <v>18</v>
      </c>
      <c r="F3069" t="str">
        <f>HYPERLINK("http://www.sec.gov/Archives/edgar/data/1614173/0001140361-16-059276-index.html")</f>
        <v>http://www.sec.gov/Archives/edgar/data/1614173/0001140361-16-059276-index.html</v>
      </c>
    </row>
    <row r="3070" spans="1:6" x14ac:dyDescent="0.2">
      <c r="A3070" t="s">
        <v>2764</v>
      </c>
      <c r="B3070" s="1">
        <v>1614806</v>
      </c>
      <c r="C3070" s="1">
        <v>6798</v>
      </c>
      <c r="D3070" s="2">
        <v>42458</v>
      </c>
      <c r="E3070" s="1" t="s">
        <v>18</v>
      </c>
      <c r="F3070" t="str">
        <f>HYPERLINK("http://www.sec.gov/Archives/edgar/data/1614806/0001571049-16-013433-index.html")</f>
        <v>http://www.sec.gov/Archives/edgar/data/1614806/0001571049-16-013433-index.html</v>
      </c>
    </row>
    <row r="3071" spans="1:6" x14ac:dyDescent="0.2">
      <c r="A3071" t="s">
        <v>2765</v>
      </c>
      <c r="B3071" s="1">
        <v>1616297</v>
      </c>
      <c r="C3071" s="1">
        <v>6022</v>
      </c>
      <c r="D3071" s="2">
        <v>42458</v>
      </c>
      <c r="E3071" s="1" t="s">
        <v>18</v>
      </c>
      <c r="F3071" t="str">
        <f>HYPERLINK("http://www.sec.gov/Archives/edgar/data/1616297/0001564590-16-015522-index.html")</f>
        <v>http://www.sec.gov/Archives/edgar/data/1616297/0001564590-16-015522-index.html</v>
      </c>
    </row>
    <row r="3072" spans="1:6" x14ac:dyDescent="0.2">
      <c r="A3072" t="s">
        <v>2766</v>
      </c>
      <c r="B3072" s="1">
        <v>1617291</v>
      </c>
      <c r="C3072" s="1">
        <v>6035</v>
      </c>
      <c r="D3072" s="2">
        <v>42458</v>
      </c>
      <c r="E3072" s="1" t="s">
        <v>18</v>
      </c>
      <c r="F3072" t="str">
        <f>HYPERLINK("http://www.sec.gov/Archives/edgar/data/1617291/0001571049-16-013436-index.html")</f>
        <v>http://www.sec.gov/Archives/edgar/data/1617291/0001571049-16-013436-index.html</v>
      </c>
    </row>
    <row r="3073" spans="1:6" x14ac:dyDescent="0.2">
      <c r="A3073" t="s">
        <v>2767</v>
      </c>
      <c r="B3073" s="1">
        <v>1617626</v>
      </c>
      <c r="C3073" s="1">
        <v>6189</v>
      </c>
      <c r="D3073" s="2">
        <v>42458</v>
      </c>
      <c r="E3073" s="1" t="s">
        <v>18</v>
      </c>
      <c r="F3073" t="str">
        <f>HYPERLINK("http://www.sec.gov/Archives/edgar/data/1617626/0001617626-16-000041-index.html")</f>
        <v>http://www.sec.gov/Archives/edgar/data/1617626/0001617626-16-000041-index.html</v>
      </c>
    </row>
    <row r="3074" spans="1:6" x14ac:dyDescent="0.2">
      <c r="A3074" t="s">
        <v>2768</v>
      </c>
      <c r="B3074" s="1">
        <v>1618835</v>
      </c>
      <c r="C3074" s="1">
        <v>2834</v>
      </c>
      <c r="D3074" s="2">
        <v>42458</v>
      </c>
      <c r="E3074" s="1" t="s">
        <v>18</v>
      </c>
      <c r="F3074" t="str">
        <f>HYPERLINK("http://www.sec.gov/Archives/edgar/data/1618835/0001564590-16-015451-index.html")</f>
        <v>http://www.sec.gov/Archives/edgar/data/1618835/0001564590-16-015451-index.html</v>
      </c>
    </row>
    <row r="3075" spans="1:6" x14ac:dyDescent="0.2">
      <c r="A3075" t="s">
        <v>2769</v>
      </c>
      <c r="B3075" s="1">
        <v>1619087</v>
      </c>
      <c r="C3075" s="1">
        <v>2834</v>
      </c>
      <c r="D3075" s="2">
        <v>42458</v>
      </c>
      <c r="E3075" s="1" t="s">
        <v>18</v>
      </c>
      <c r="F3075" t="str">
        <f>HYPERLINK("http://www.sec.gov/Archives/edgar/data/1619087/0001047469-16-011705-index.html")</f>
        <v>http://www.sec.gov/Archives/edgar/data/1619087/0001047469-16-011705-index.html</v>
      </c>
    </row>
    <row r="3076" spans="1:6" x14ac:dyDescent="0.2">
      <c r="A3076" t="s">
        <v>2770</v>
      </c>
      <c r="B3076" s="1">
        <v>1619406</v>
      </c>
      <c r="C3076" s="1">
        <v>6189</v>
      </c>
      <c r="D3076" s="2">
        <v>42458</v>
      </c>
      <c r="E3076" s="1" t="s">
        <v>18</v>
      </c>
      <c r="F3076" t="str">
        <f>HYPERLINK("http://www.sec.gov/Archives/edgar/data/1619406/0001619406-16-000043-index.html")</f>
        <v>http://www.sec.gov/Archives/edgar/data/1619406/0001619406-16-000043-index.html</v>
      </c>
    </row>
    <row r="3077" spans="1:6" x14ac:dyDescent="0.2">
      <c r="A3077" t="s">
        <v>2771</v>
      </c>
      <c r="B3077" s="1">
        <v>1621640</v>
      </c>
      <c r="C3077" s="1">
        <v>6189</v>
      </c>
      <c r="D3077" s="2">
        <v>42458</v>
      </c>
      <c r="E3077" s="1" t="s">
        <v>18</v>
      </c>
      <c r="F3077" t="str">
        <f>HYPERLINK("http://www.sec.gov/Archives/edgar/data/1621640/0001104659-16-108332-index.html")</f>
        <v>http://www.sec.gov/Archives/edgar/data/1621640/0001104659-16-108332-index.html</v>
      </c>
    </row>
    <row r="3078" spans="1:6" x14ac:dyDescent="0.2">
      <c r="A3078" t="s">
        <v>2772</v>
      </c>
      <c r="B3078" s="1">
        <v>1621990</v>
      </c>
      <c r="C3078" s="1">
        <v>6189</v>
      </c>
      <c r="D3078" s="2">
        <v>42458</v>
      </c>
      <c r="E3078" s="1" t="s">
        <v>18</v>
      </c>
      <c r="F3078" t="str">
        <f>HYPERLINK("http://www.sec.gov/Archives/edgar/data/1621990/0001621990-16-000044-index.html")</f>
        <v>http://www.sec.gov/Archives/edgar/data/1621990/0001621990-16-000044-index.html</v>
      </c>
    </row>
    <row r="3079" spans="1:6" x14ac:dyDescent="0.2">
      <c r="A3079" t="s">
        <v>2773</v>
      </c>
      <c r="B3079" s="1">
        <v>1622867</v>
      </c>
      <c r="C3079" s="1">
        <v>7389</v>
      </c>
      <c r="D3079" s="2">
        <v>42458</v>
      </c>
      <c r="E3079" s="1" t="s">
        <v>18</v>
      </c>
      <c r="F3079" t="str">
        <f>HYPERLINK("http://www.sec.gov/Archives/edgar/data/1622867/0001144204-16-090864-index.html")</f>
        <v>http://www.sec.gov/Archives/edgar/data/1622867/0001144204-16-090864-index.html</v>
      </c>
    </row>
    <row r="3080" spans="1:6" x14ac:dyDescent="0.2">
      <c r="A3080" t="s">
        <v>2774</v>
      </c>
      <c r="B3080" s="1">
        <v>1626899</v>
      </c>
      <c r="C3080" s="1">
        <v>7389</v>
      </c>
      <c r="D3080" s="2">
        <v>42458</v>
      </c>
      <c r="E3080" s="1" t="s">
        <v>18</v>
      </c>
      <c r="F3080" t="str">
        <f>HYPERLINK("http://www.sec.gov/Archives/edgar/data/1626899/0001213900-16-011942-index.html")</f>
        <v>http://www.sec.gov/Archives/edgar/data/1626899/0001213900-16-011942-index.html</v>
      </c>
    </row>
    <row r="3081" spans="1:6" x14ac:dyDescent="0.2">
      <c r="A3081" t="s">
        <v>2775</v>
      </c>
      <c r="B3081" s="1">
        <v>1627213</v>
      </c>
      <c r="C3081" s="1">
        <v>6189</v>
      </c>
      <c r="D3081" s="2">
        <v>42458</v>
      </c>
      <c r="E3081" s="1" t="s">
        <v>18</v>
      </c>
      <c r="F3081" t="str">
        <f>HYPERLINK("http://www.sec.gov/Archives/edgar/data/1627213/0001627213-16-000039-index.html")</f>
        <v>http://www.sec.gov/Archives/edgar/data/1627213/0001627213-16-000039-index.html</v>
      </c>
    </row>
    <row r="3082" spans="1:6" x14ac:dyDescent="0.2">
      <c r="A3082" t="s">
        <v>2776</v>
      </c>
      <c r="B3082" s="1">
        <v>1629137</v>
      </c>
      <c r="C3082" s="1">
        <v>2834</v>
      </c>
      <c r="D3082" s="2">
        <v>42458</v>
      </c>
      <c r="E3082" s="1" t="s">
        <v>18</v>
      </c>
      <c r="F3082" t="str">
        <f>HYPERLINK("http://www.sec.gov/Archives/edgar/data/1629137/0001629137-16-000028-index.html")</f>
        <v>http://www.sec.gov/Archives/edgar/data/1629137/0001629137-16-000028-index.html</v>
      </c>
    </row>
    <row r="3083" spans="1:6" x14ac:dyDescent="0.2">
      <c r="A3083" t="s">
        <v>2777</v>
      </c>
      <c r="B3083" s="1">
        <v>1629789</v>
      </c>
      <c r="C3083" s="1">
        <v>6189</v>
      </c>
      <c r="D3083" s="2">
        <v>42458</v>
      </c>
      <c r="E3083" s="1" t="s">
        <v>18</v>
      </c>
      <c r="F3083" t="str">
        <f>HYPERLINK("http://www.sec.gov/Archives/edgar/data/1629789/0001019965-16-000360-index.html")</f>
        <v>http://www.sec.gov/Archives/edgar/data/1629789/0001019965-16-000360-index.html</v>
      </c>
    </row>
    <row r="3084" spans="1:6" x14ac:dyDescent="0.2">
      <c r="A3084" t="s">
        <v>2778</v>
      </c>
      <c r="B3084" s="1">
        <v>1630924</v>
      </c>
      <c r="C3084" s="1">
        <v>6189</v>
      </c>
      <c r="D3084" s="2">
        <v>42458</v>
      </c>
      <c r="E3084" s="1" t="s">
        <v>18</v>
      </c>
      <c r="F3084" t="str">
        <f>HYPERLINK("http://www.sec.gov/Archives/edgar/data/1630924/0001630924-16-000038-index.html")</f>
        <v>http://www.sec.gov/Archives/edgar/data/1630924/0001630924-16-000038-index.html</v>
      </c>
    </row>
    <row r="3085" spans="1:6" x14ac:dyDescent="0.2">
      <c r="A3085" t="s">
        <v>2779</v>
      </c>
      <c r="B3085" s="1">
        <v>1637287</v>
      </c>
      <c r="C3085" s="1">
        <v>6189</v>
      </c>
      <c r="D3085" s="2">
        <v>42458</v>
      </c>
      <c r="E3085" s="1" t="s">
        <v>18</v>
      </c>
      <c r="F3085" t="str">
        <f>HYPERLINK("http://www.sec.gov/Archives/edgar/data/1637287/0001637287-16-000029-index.html")</f>
        <v>http://www.sec.gov/Archives/edgar/data/1637287/0001637287-16-000029-index.html</v>
      </c>
    </row>
    <row r="3086" spans="1:6" x14ac:dyDescent="0.2">
      <c r="A3086" t="s">
        <v>2780</v>
      </c>
      <c r="B3086" s="1">
        <v>1640313</v>
      </c>
      <c r="C3086" s="1">
        <v>2000</v>
      </c>
      <c r="D3086" s="2">
        <v>42458</v>
      </c>
      <c r="E3086" s="1" t="s">
        <v>18</v>
      </c>
      <c r="F3086" t="str">
        <f>HYPERLINK("http://www.sec.gov/Archives/edgar/data/1640313/0001640313-16-000009-index.html")</f>
        <v>http://www.sec.gov/Archives/edgar/data/1640313/0001640313-16-000009-index.html</v>
      </c>
    </row>
    <row r="3087" spans="1:6" x14ac:dyDescent="0.2">
      <c r="A3087" t="s">
        <v>2781</v>
      </c>
      <c r="B3087" s="1">
        <v>1641832</v>
      </c>
      <c r="C3087" s="1">
        <v>6189</v>
      </c>
      <c r="D3087" s="2">
        <v>42458</v>
      </c>
      <c r="E3087" s="1" t="s">
        <v>18</v>
      </c>
      <c r="F3087" t="str">
        <f>HYPERLINK("http://www.sec.gov/Archives/edgar/data/1641832/0001641832-16-000027-index.html")</f>
        <v>http://www.sec.gov/Archives/edgar/data/1641832/0001641832-16-000027-index.html</v>
      </c>
    </row>
    <row r="3088" spans="1:6" x14ac:dyDescent="0.2">
      <c r="A3088" t="s">
        <v>2782</v>
      </c>
      <c r="B3088" s="1">
        <v>1642985</v>
      </c>
      <c r="C3088" s="1">
        <v>6798</v>
      </c>
      <c r="D3088" s="2">
        <v>42458</v>
      </c>
      <c r="E3088" s="1" t="s">
        <v>18</v>
      </c>
      <c r="F3088" t="str">
        <f>HYPERLINK("http://www.sec.gov/Archives/edgar/data/1642985/0001642985-16-000021-index.html")</f>
        <v>http://www.sec.gov/Archives/edgar/data/1642985/0001642985-16-000021-index.html</v>
      </c>
    </row>
    <row r="3089" spans="1:6" x14ac:dyDescent="0.2">
      <c r="A3089" t="s">
        <v>2783</v>
      </c>
      <c r="B3089" s="1">
        <v>1643508</v>
      </c>
      <c r="C3089" s="1">
        <v>6189</v>
      </c>
      <c r="D3089" s="2">
        <v>42458</v>
      </c>
      <c r="E3089" s="1" t="s">
        <v>18</v>
      </c>
      <c r="F3089" t="str">
        <f>HYPERLINK("http://www.sec.gov/Archives/edgar/data/1643508/0001643508-16-000022-index.html")</f>
        <v>http://www.sec.gov/Archives/edgar/data/1643508/0001643508-16-000022-index.html</v>
      </c>
    </row>
    <row r="3090" spans="1:6" x14ac:dyDescent="0.2">
      <c r="A3090" t="s">
        <v>2784</v>
      </c>
      <c r="B3090" s="1">
        <v>1646736</v>
      </c>
      <c r="C3090" s="1">
        <v>6189</v>
      </c>
      <c r="D3090" s="2">
        <v>42458</v>
      </c>
      <c r="E3090" s="1" t="s">
        <v>42</v>
      </c>
      <c r="F3090" t="str">
        <f>HYPERLINK("http://www.sec.gov/Archives/edgar/data/1646736/0001056404-16-003829-index.html")</f>
        <v>http://www.sec.gov/Archives/edgar/data/1646736/0001056404-16-003829-index.html</v>
      </c>
    </row>
    <row r="3091" spans="1:6" x14ac:dyDescent="0.2">
      <c r="A3091" t="s">
        <v>2785</v>
      </c>
      <c r="B3091" s="1">
        <v>1646798</v>
      </c>
      <c r="C3091" s="1">
        <v>6189</v>
      </c>
      <c r="D3091" s="2">
        <v>42458</v>
      </c>
      <c r="E3091" s="1" t="s">
        <v>18</v>
      </c>
      <c r="F3091" t="str">
        <f>HYPERLINK("http://www.sec.gov/Archives/edgar/data/1646798/0001019965-16-000367-index.html")</f>
        <v>http://www.sec.gov/Archives/edgar/data/1646798/0001019965-16-000367-index.html</v>
      </c>
    </row>
    <row r="3092" spans="1:6" x14ac:dyDescent="0.2">
      <c r="A3092" t="s">
        <v>2786</v>
      </c>
      <c r="B3092" s="1">
        <v>1647353</v>
      </c>
      <c r="C3092" s="1">
        <v>6189</v>
      </c>
      <c r="D3092" s="2">
        <v>42458</v>
      </c>
      <c r="E3092" s="1" t="s">
        <v>18</v>
      </c>
      <c r="F3092" t="str">
        <f>HYPERLINK("http://www.sec.gov/Archives/edgar/data/1647353/0001647353-16-000024-index.html")</f>
        <v>http://www.sec.gov/Archives/edgar/data/1647353/0001647353-16-000024-index.html</v>
      </c>
    </row>
    <row r="3093" spans="1:6" x14ac:dyDescent="0.2">
      <c r="A3093" t="s">
        <v>2787</v>
      </c>
      <c r="B3093" s="1">
        <v>1649616</v>
      </c>
      <c r="C3093" s="1">
        <v>6189</v>
      </c>
      <c r="D3093" s="2">
        <v>42458</v>
      </c>
      <c r="E3093" s="1" t="s">
        <v>18</v>
      </c>
      <c r="F3093" t="str">
        <f>HYPERLINK("http://www.sec.gov/Archives/edgar/data/1649616/0001649616-16-000022-index.html")</f>
        <v>http://www.sec.gov/Archives/edgar/data/1649616/0001649616-16-000022-index.html</v>
      </c>
    </row>
    <row r="3094" spans="1:6" x14ac:dyDescent="0.2">
      <c r="A3094" t="s">
        <v>2788</v>
      </c>
      <c r="B3094" s="1">
        <v>1649934</v>
      </c>
      <c r="C3094" s="1">
        <v>6189</v>
      </c>
      <c r="D3094" s="2">
        <v>42458</v>
      </c>
      <c r="E3094" s="1" t="s">
        <v>18</v>
      </c>
      <c r="F3094" t="str">
        <f>HYPERLINK("http://www.sec.gov/Archives/edgar/data/1649934/0001104659-16-108339-index.html")</f>
        <v>http://www.sec.gov/Archives/edgar/data/1649934/0001104659-16-108339-index.html</v>
      </c>
    </row>
    <row r="3095" spans="1:6" x14ac:dyDescent="0.2">
      <c r="A3095" t="s">
        <v>2789</v>
      </c>
      <c r="B3095" s="1">
        <v>1651790</v>
      </c>
      <c r="C3095" s="1">
        <v>6189</v>
      </c>
      <c r="D3095" s="2">
        <v>42458</v>
      </c>
      <c r="E3095" s="1" t="s">
        <v>42</v>
      </c>
      <c r="F3095" t="str">
        <f>HYPERLINK("http://www.sec.gov/Archives/edgar/data/1651790/0001056404-16-003831-index.html")</f>
        <v>http://www.sec.gov/Archives/edgar/data/1651790/0001056404-16-003831-index.html</v>
      </c>
    </row>
    <row r="3096" spans="1:6" x14ac:dyDescent="0.2">
      <c r="A3096" t="s">
        <v>2790</v>
      </c>
      <c r="B3096" s="1">
        <v>1652044</v>
      </c>
      <c r="C3096" s="1">
        <v>7370</v>
      </c>
      <c r="D3096" s="2">
        <v>42458</v>
      </c>
      <c r="E3096" s="1" t="s">
        <v>42</v>
      </c>
      <c r="F3096" t="str">
        <f>HYPERLINK("http://www.sec.gov/Archives/edgar/data/1652044/0001193125-16-520367-index.html")</f>
        <v>http://www.sec.gov/Archives/edgar/data/1652044/0001193125-16-520367-index.html</v>
      </c>
    </row>
    <row r="3097" spans="1:6" x14ac:dyDescent="0.2">
      <c r="A3097" t="s">
        <v>2791</v>
      </c>
      <c r="B3097" s="1">
        <v>1652201</v>
      </c>
      <c r="C3097" s="1">
        <v>6189</v>
      </c>
      <c r="D3097" s="2">
        <v>42458</v>
      </c>
      <c r="E3097" s="1" t="s">
        <v>18</v>
      </c>
      <c r="F3097" t="str">
        <f>HYPERLINK("http://www.sec.gov/Archives/edgar/data/1652201/0001652201-16-000018-index.html")</f>
        <v>http://www.sec.gov/Archives/edgar/data/1652201/0001652201-16-000018-index.html</v>
      </c>
    </row>
    <row r="3098" spans="1:6" x14ac:dyDescent="0.2">
      <c r="A3098" t="s">
        <v>2792</v>
      </c>
      <c r="B3098" s="1">
        <v>1653426</v>
      </c>
      <c r="C3098" s="1">
        <v>6189</v>
      </c>
      <c r="D3098" s="2">
        <v>42458</v>
      </c>
      <c r="E3098" s="1" t="s">
        <v>18</v>
      </c>
      <c r="F3098" t="str">
        <f>HYPERLINK("http://www.sec.gov/Archives/edgar/data/1653426/0001019965-16-000361-index.html")</f>
        <v>http://www.sec.gov/Archives/edgar/data/1653426/0001019965-16-000361-index.html</v>
      </c>
    </row>
    <row r="3099" spans="1:6" x14ac:dyDescent="0.2">
      <c r="A3099" t="s">
        <v>2793</v>
      </c>
      <c r="B3099" s="1">
        <v>1654785</v>
      </c>
      <c r="C3099" s="1">
        <v>6189</v>
      </c>
      <c r="D3099" s="2">
        <v>42458</v>
      </c>
      <c r="E3099" s="1" t="s">
        <v>18</v>
      </c>
      <c r="F3099" t="str">
        <f>HYPERLINK("http://www.sec.gov/Archives/edgar/data/1654785/0001654785-16-000018-index.html")</f>
        <v>http://www.sec.gov/Archives/edgar/data/1654785/0001654785-16-000018-index.html</v>
      </c>
    </row>
    <row r="3100" spans="1:6" x14ac:dyDescent="0.2">
      <c r="A3100" t="s">
        <v>2794</v>
      </c>
      <c r="B3100" s="1">
        <v>20639</v>
      </c>
      <c r="C3100" s="1">
        <v>6512</v>
      </c>
      <c r="D3100" s="2">
        <v>42458</v>
      </c>
      <c r="E3100" s="1" t="s">
        <v>18</v>
      </c>
      <c r="F3100" t="str">
        <f>HYPERLINK("http://www.sec.gov/Archives/edgar/data/20639/0000020639-16-000044-index.html")</f>
        <v>http://www.sec.gov/Archives/edgar/data/20639/0000020639-16-000044-index.html</v>
      </c>
    </row>
    <row r="3101" spans="1:6" x14ac:dyDescent="0.2">
      <c r="A3101" t="s">
        <v>2795</v>
      </c>
      <c r="B3101" s="1">
        <v>20947</v>
      </c>
      <c r="C3101" s="1">
        <v>6189</v>
      </c>
      <c r="D3101" s="2">
        <v>42458</v>
      </c>
      <c r="E3101" s="1" t="s">
        <v>18</v>
      </c>
      <c r="F3101" t="str">
        <f>HYPERLINK("http://www.sec.gov/Archives/edgar/data/20947/0001578443-16-000015-index.html")</f>
        <v>http://www.sec.gov/Archives/edgar/data/20947/0001578443-16-000015-index.html</v>
      </c>
    </row>
    <row r="3102" spans="1:6" x14ac:dyDescent="0.2">
      <c r="A3102" t="s">
        <v>2796</v>
      </c>
      <c r="B3102" s="1">
        <v>315958</v>
      </c>
      <c r="C3102" s="1">
        <v>7320</v>
      </c>
      <c r="D3102" s="2">
        <v>42458</v>
      </c>
      <c r="E3102" s="1" t="s">
        <v>18</v>
      </c>
      <c r="F3102" t="str">
        <f>HYPERLINK("http://www.sec.gov/Archives/edgar/data/315958/0001140361-16-059213-index.html")</f>
        <v>http://www.sec.gov/Archives/edgar/data/315958/0001140361-16-059213-index.html</v>
      </c>
    </row>
    <row r="3103" spans="1:6" x14ac:dyDescent="0.2">
      <c r="A3103" t="s">
        <v>2797</v>
      </c>
      <c r="B3103" s="1">
        <v>352049</v>
      </c>
      <c r="C3103" s="1">
        <v>6189</v>
      </c>
      <c r="D3103" s="2">
        <v>42458</v>
      </c>
      <c r="E3103" s="1" t="s">
        <v>18</v>
      </c>
      <c r="F3103" t="str">
        <f>HYPERLINK("http://www.sec.gov/Archives/edgar/data/352049/0001578443-16-000015-index.html")</f>
        <v>http://www.sec.gov/Archives/edgar/data/352049/0001578443-16-000015-index.html</v>
      </c>
    </row>
    <row r="3104" spans="1:6" x14ac:dyDescent="0.2">
      <c r="A3104" t="s">
        <v>2798</v>
      </c>
      <c r="B3104" s="1">
        <v>49615</v>
      </c>
      <c r="C3104" s="1">
        <v>3669</v>
      </c>
      <c r="D3104" s="2">
        <v>42458</v>
      </c>
      <c r="E3104" s="1" t="s">
        <v>18</v>
      </c>
      <c r="F3104" t="str">
        <f>HYPERLINK("http://www.sec.gov/Archives/edgar/data/49615/0001493152-16-008349-index.html")</f>
        <v>http://www.sec.gov/Archives/edgar/data/49615/0001493152-16-008349-index.html</v>
      </c>
    </row>
    <row r="3105" spans="1:6" x14ac:dyDescent="0.2">
      <c r="A3105" t="s">
        <v>2799</v>
      </c>
      <c r="B3105" s="1">
        <v>56873</v>
      </c>
      <c r="C3105" s="1">
        <v>5411</v>
      </c>
      <c r="D3105" s="2">
        <v>42458</v>
      </c>
      <c r="E3105" s="1" t="s">
        <v>18</v>
      </c>
      <c r="F3105" t="str">
        <f>HYPERLINK("http://www.sec.gov/Archives/edgar/data/56873/0001104659-16-108277-index.html")</f>
        <v>http://www.sec.gov/Archives/edgar/data/56873/0001104659-16-108277-index.html</v>
      </c>
    </row>
    <row r="3106" spans="1:6" x14ac:dyDescent="0.2">
      <c r="A3106" t="s">
        <v>2800</v>
      </c>
      <c r="B3106" s="1">
        <v>60667</v>
      </c>
      <c r="C3106" s="1">
        <v>5211</v>
      </c>
      <c r="D3106" s="2">
        <v>42458</v>
      </c>
      <c r="E3106" s="1" t="s">
        <v>18</v>
      </c>
      <c r="F3106" t="str">
        <f>HYPERLINK("http://www.sec.gov/Archives/edgar/data/60667/0000060667-16-000276-index.html")</f>
        <v>http://www.sec.gov/Archives/edgar/data/60667/0000060667-16-000276-index.html</v>
      </c>
    </row>
    <row r="3107" spans="1:6" x14ac:dyDescent="0.2">
      <c r="A3107" t="s">
        <v>2801</v>
      </c>
      <c r="B3107" s="1">
        <v>61004</v>
      </c>
      <c r="C3107" s="1">
        <v>3679</v>
      </c>
      <c r="D3107" s="2">
        <v>42458</v>
      </c>
      <c r="E3107" s="1" t="s">
        <v>18</v>
      </c>
      <c r="F3107" t="str">
        <f>HYPERLINK("http://www.sec.gov/Archives/edgar/data/61004/0000061004-16-000057-index.html")</f>
        <v>http://www.sec.gov/Archives/edgar/data/61004/0000061004-16-000057-index.html</v>
      </c>
    </row>
    <row r="3108" spans="1:6" x14ac:dyDescent="0.2">
      <c r="A3108" t="s">
        <v>2802</v>
      </c>
      <c r="B3108" s="1">
        <v>6494</v>
      </c>
      <c r="C3108" s="1">
        <v>3663</v>
      </c>
      <c r="D3108" s="2">
        <v>42458</v>
      </c>
      <c r="E3108" s="1" t="s">
        <v>18</v>
      </c>
      <c r="F3108" t="str">
        <f>HYPERLINK("http://www.sec.gov/Archives/edgar/data/6494/0001206774-16-005177-index.html")</f>
        <v>http://www.sec.gov/Archives/edgar/data/6494/0001206774-16-005177-index.html</v>
      </c>
    </row>
    <row r="3109" spans="1:6" x14ac:dyDescent="0.2">
      <c r="A3109" t="s">
        <v>2803</v>
      </c>
      <c r="B3109" s="1">
        <v>721693</v>
      </c>
      <c r="C3109" s="1">
        <v>7389</v>
      </c>
      <c r="D3109" s="2">
        <v>42458</v>
      </c>
      <c r="E3109" s="1" t="s">
        <v>18</v>
      </c>
      <c r="F3109" t="str">
        <f>HYPERLINK("http://www.sec.gov/Archives/edgar/data/721693/0001144204-16-090763-index.html")</f>
        <v>http://www.sec.gov/Archives/edgar/data/721693/0001144204-16-090763-index.html</v>
      </c>
    </row>
    <row r="3110" spans="1:6" x14ac:dyDescent="0.2">
      <c r="A3110" t="s">
        <v>2804</v>
      </c>
      <c r="B3110" s="1">
        <v>736012</v>
      </c>
      <c r="C3110" s="1">
        <v>3576</v>
      </c>
      <c r="D3110" s="2">
        <v>42458</v>
      </c>
      <c r="E3110" s="1" t="s">
        <v>18</v>
      </c>
      <c r="F3110" t="str">
        <f>HYPERLINK("http://www.sec.gov/Archives/edgar/data/736012/0001104659-16-108278-index.html")</f>
        <v>http://www.sec.gov/Archives/edgar/data/736012/0001104659-16-108278-index.html</v>
      </c>
    </row>
    <row r="3111" spans="1:6" x14ac:dyDescent="0.2">
      <c r="A3111" t="s">
        <v>2805</v>
      </c>
      <c r="B3111" s="1">
        <v>738214</v>
      </c>
      <c r="C3111" s="1">
        <v>2860</v>
      </c>
      <c r="D3111" s="2">
        <v>42458</v>
      </c>
      <c r="E3111" s="1" t="s">
        <v>18</v>
      </c>
      <c r="F3111" t="str">
        <f>HYPERLINK("http://www.sec.gov/Archives/edgar/data/738214/0001354488-16-006728-index.html")</f>
        <v>http://www.sec.gov/Archives/edgar/data/738214/0001354488-16-006728-index.html</v>
      </c>
    </row>
    <row r="3112" spans="1:6" x14ac:dyDescent="0.2">
      <c r="A3112" t="s">
        <v>2806</v>
      </c>
      <c r="B3112" s="1">
        <v>73960</v>
      </c>
      <c r="C3112" s="1">
        <v>6189</v>
      </c>
      <c r="D3112" s="2">
        <v>42458</v>
      </c>
      <c r="E3112" s="1" t="s">
        <v>18</v>
      </c>
      <c r="F3112" t="str">
        <f>HYPERLINK("http://www.sec.gov/Archives/edgar/data/73960/0001578443-16-000015-index.html")</f>
        <v>http://www.sec.gov/Archives/edgar/data/73960/0001578443-16-000015-index.html</v>
      </c>
    </row>
    <row r="3113" spans="1:6" x14ac:dyDescent="0.2">
      <c r="A3113" t="s">
        <v>2807</v>
      </c>
      <c r="B3113" s="1">
        <v>745732</v>
      </c>
      <c r="C3113" s="1">
        <v>5651</v>
      </c>
      <c r="D3113" s="2">
        <v>42458</v>
      </c>
      <c r="E3113" s="1" t="s">
        <v>18</v>
      </c>
      <c r="F3113" t="str">
        <f>HYPERLINK("http://www.sec.gov/Archives/edgar/data/745732/0000745732-16-000037-index.html")</f>
        <v>http://www.sec.gov/Archives/edgar/data/745732/0000745732-16-000037-index.html</v>
      </c>
    </row>
    <row r="3114" spans="1:6" x14ac:dyDescent="0.2">
      <c r="A3114" t="s">
        <v>2808</v>
      </c>
      <c r="B3114" s="1">
        <v>768835</v>
      </c>
      <c r="C3114" s="1">
        <v>5331</v>
      </c>
      <c r="D3114" s="2">
        <v>42458</v>
      </c>
      <c r="E3114" s="1" t="s">
        <v>18</v>
      </c>
      <c r="F3114" t="str">
        <f>HYPERLINK("http://www.sec.gov/Archives/edgar/data/768835/0000768835-16-000096-index.html")</f>
        <v>http://www.sec.gov/Archives/edgar/data/768835/0000768835-16-000096-index.html</v>
      </c>
    </row>
    <row r="3115" spans="1:6" x14ac:dyDescent="0.2">
      <c r="A3115" t="s">
        <v>2809</v>
      </c>
      <c r="B3115" s="1">
        <v>788816</v>
      </c>
      <c r="C3115" s="1">
        <v>4911</v>
      </c>
      <c r="D3115" s="2">
        <v>42458</v>
      </c>
      <c r="E3115" s="1" t="s">
        <v>18</v>
      </c>
      <c r="F3115" t="str">
        <f>HYPERLINK("http://www.sec.gov/Archives/edgar/data/788816/0001047469-16-011663-index.html")</f>
        <v>http://www.sec.gov/Archives/edgar/data/788816/0001047469-16-011663-index.html</v>
      </c>
    </row>
    <row r="3116" spans="1:6" x14ac:dyDescent="0.2">
      <c r="A3116" t="s">
        <v>2810</v>
      </c>
      <c r="B3116" s="1">
        <v>803578</v>
      </c>
      <c r="C3116" s="1">
        <v>7372</v>
      </c>
      <c r="D3116" s="2">
        <v>42458</v>
      </c>
      <c r="E3116" s="1" t="s">
        <v>18</v>
      </c>
      <c r="F3116" t="str">
        <f>HYPERLINK("http://www.sec.gov/Archives/edgar/data/803578/0001354488-16-006739-index.html")</f>
        <v>http://www.sec.gov/Archives/edgar/data/803578/0001354488-16-006739-index.html</v>
      </c>
    </row>
    <row r="3117" spans="1:6" x14ac:dyDescent="0.2">
      <c r="A3117" t="s">
        <v>2811</v>
      </c>
      <c r="B3117" s="1">
        <v>805326</v>
      </c>
      <c r="C3117" s="1">
        <v>2834</v>
      </c>
      <c r="D3117" s="2">
        <v>42458</v>
      </c>
      <c r="E3117" s="1" t="s">
        <v>18</v>
      </c>
      <c r="F3117" t="str">
        <f>HYPERLINK("http://www.sec.gov/Archives/edgar/data/805326/0001193125-16-521621-index.html")</f>
        <v>http://www.sec.gov/Archives/edgar/data/805326/0001193125-16-521621-index.html</v>
      </c>
    </row>
    <row r="3118" spans="1:6" x14ac:dyDescent="0.2">
      <c r="A3118" t="s">
        <v>2812</v>
      </c>
      <c r="B3118" s="1">
        <v>8177</v>
      </c>
      <c r="C3118" s="1">
        <v>6311</v>
      </c>
      <c r="D3118" s="2">
        <v>42458</v>
      </c>
      <c r="E3118" s="1" t="s">
        <v>18</v>
      </c>
      <c r="F3118" t="str">
        <f>HYPERLINK("http://www.sec.gov/Archives/edgar/data/8177/0001567619-16-002103-index.html")</f>
        <v>http://www.sec.gov/Archives/edgar/data/8177/0001567619-16-002103-index.html</v>
      </c>
    </row>
    <row r="3119" spans="1:6" x14ac:dyDescent="0.2">
      <c r="A3119" t="s">
        <v>2813</v>
      </c>
      <c r="B3119" s="1">
        <v>821002</v>
      </c>
      <c r="C3119" s="1">
        <v>2300</v>
      </c>
      <c r="D3119" s="2">
        <v>42458</v>
      </c>
      <c r="E3119" s="1" t="s">
        <v>18</v>
      </c>
      <c r="F3119" t="str">
        <f>HYPERLINK("http://www.sec.gov/Archives/edgar/data/821002/0001571049-16-013440-index.html")</f>
        <v>http://www.sec.gov/Archives/edgar/data/821002/0001571049-16-013440-index.html</v>
      </c>
    </row>
    <row r="3120" spans="1:6" x14ac:dyDescent="0.2">
      <c r="A3120" t="s">
        <v>2814</v>
      </c>
      <c r="B3120" s="1">
        <v>82166</v>
      </c>
      <c r="C3120" s="1">
        <v>3081</v>
      </c>
      <c r="D3120" s="2">
        <v>42458</v>
      </c>
      <c r="E3120" s="1" t="s">
        <v>18</v>
      </c>
      <c r="F3120" t="str">
        <f>HYPERLINK("http://www.sec.gov/Archives/edgar/data/82166/0000082166-16-000142-index.html")</f>
        <v>http://www.sec.gov/Archives/edgar/data/82166/0000082166-16-000142-index.html</v>
      </c>
    </row>
    <row r="3121" spans="1:6" x14ac:dyDescent="0.2">
      <c r="A3121" t="s">
        <v>2815</v>
      </c>
      <c r="B3121" s="1">
        <v>845289</v>
      </c>
      <c r="C3121" s="1">
        <v>1311</v>
      </c>
      <c r="D3121" s="2">
        <v>42458</v>
      </c>
      <c r="E3121" s="1" t="s">
        <v>18</v>
      </c>
      <c r="F3121" t="str">
        <f>HYPERLINK("http://www.sec.gov/Archives/edgar/data/845289/0000845289-16-000026-index.html")</f>
        <v>http://www.sec.gov/Archives/edgar/data/845289/0000845289-16-000026-index.html</v>
      </c>
    </row>
    <row r="3122" spans="1:6" x14ac:dyDescent="0.2">
      <c r="A3122" t="s">
        <v>2816</v>
      </c>
      <c r="B3122" s="1">
        <v>849636</v>
      </c>
      <c r="C3122" s="1">
        <v>2834</v>
      </c>
      <c r="D3122" s="2">
        <v>42458</v>
      </c>
      <c r="E3122" s="1" t="s">
        <v>18</v>
      </c>
      <c r="F3122" t="str">
        <f>HYPERLINK("http://www.sec.gov/Archives/edgar/data/849636/0001493152-16-008331-index.html")</f>
        <v>http://www.sec.gov/Archives/edgar/data/849636/0001493152-16-008331-index.html</v>
      </c>
    </row>
    <row r="3123" spans="1:6" x14ac:dyDescent="0.2">
      <c r="A3123" t="s">
        <v>2817</v>
      </c>
      <c r="B3123" s="1">
        <v>868278</v>
      </c>
      <c r="C3123" s="1">
        <v>2834</v>
      </c>
      <c r="D3123" s="2">
        <v>42458</v>
      </c>
      <c r="E3123" s="1" t="s">
        <v>18</v>
      </c>
      <c r="F3123" t="str">
        <f>HYPERLINK("http://www.sec.gov/Archives/edgar/data/868278/0001493152-16-008343-index.html")</f>
        <v>http://www.sec.gov/Archives/edgar/data/868278/0001493152-16-008343-index.html</v>
      </c>
    </row>
    <row r="3124" spans="1:6" x14ac:dyDescent="0.2">
      <c r="A3124" t="s">
        <v>2818</v>
      </c>
      <c r="B3124" s="1">
        <v>878828</v>
      </c>
      <c r="C3124" s="1">
        <v>3825</v>
      </c>
      <c r="D3124" s="2">
        <v>42458</v>
      </c>
      <c r="E3124" s="1" t="s">
        <v>18</v>
      </c>
      <c r="F3124" t="str">
        <f>HYPERLINK("http://www.sec.gov/Archives/edgar/data/878828/0000930413-16-006253-index.html")</f>
        <v>http://www.sec.gov/Archives/edgar/data/878828/0000930413-16-006253-index.html</v>
      </c>
    </row>
    <row r="3125" spans="1:6" x14ac:dyDescent="0.2">
      <c r="A3125" t="s">
        <v>2819</v>
      </c>
      <c r="B3125" s="1">
        <v>880641</v>
      </c>
      <c r="C3125" s="1">
        <v>6022</v>
      </c>
      <c r="D3125" s="2">
        <v>42458</v>
      </c>
      <c r="E3125" s="1" t="s">
        <v>18</v>
      </c>
      <c r="F3125" t="str">
        <f>HYPERLINK("http://www.sec.gov/Archives/edgar/data/880641/0000880641-16-000114-index.html")</f>
        <v>http://www.sec.gov/Archives/edgar/data/880641/0000880641-16-000114-index.html</v>
      </c>
    </row>
    <row r="3126" spans="1:6" x14ac:dyDescent="0.2">
      <c r="A3126" t="s">
        <v>2820</v>
      </c>
      <c r="B3126" s="1">
        <v>883107</v>
      </c>
      <c r="C3126" s="1">
        <v>3390</v>
      </c>
      <c r="D3126" s="2">
        <v>42458</v>
      </c>
      <c r="E3126" s="1" t="s">
        <v>18</v>
      </c>
      <c r="F3126" t="str">
        <f>HYPERLINK("http://www.sec.gov/Archives/edgar/data/883107/0001193125-16-520642-index.html")</f>
        <v>http://www.sec.gov/Archives/edgar/data/883107/0001193125-16-520642-index.html</v>
      </c>
    </row>
    <row r="3127" spans="1:6" x14ac:dyDescent="0.2">
      <c r="A3127" t="s">
        <v>2821</v>
      </c>
      <c r="B3127" s="1">
        <v>892832</v>
      </c>
      <c r="C3127" s="1">
        <v>6770</v>
      </c>
      <c r="D3127" s="2">
        <v>42458</v>
      </c>
      <c r="E3127" s="1" t="s">
        <v>18</v>
      </c>
      <c r="F3127" t="str">
        <f>HYPERLINK("http://www.sec.gov/Archives/edgar/data/892832/0001144204-16-090951-index.html")</f>
        <v>http://www.sec.gov/Archives/edgar/data/892832/0001144204-16-090951-index.html</v>
      </c>
    </row>
    <row r="3128" spans="1:6" x14ac:dyDescent="0.2">
      <c r="A3128" t="s">
        <v>2822</v>
      </c>
      <c r="B3128" s="1">
        <v>893958</v>
      </c>
      <c r="C3128" s="1">
        <v>6189</v>
      </c>
      <c r="D3128" s="2">
        <v>42458</v>
      </c>
      <c r="E3128" s="1" t="s">
        <v>18</v>
      </c>
      <c r="F3128" t="str">
        <f>HYPERLINK("http://www.sec.gov/Archives/edgar/data/893958/0001566328-16-000044-index.html")</f>
        <v>http://www.sec.gov/Archives/edgar/data/893958/0001566328-16-000044-index.html</v>
      </c>
    </row>
    <row r="3129" spans="1:6" x14ac:dyDescent="0.2">
      <c r="A3129" t="s">
        <v>2822</v>
      </c>
      <c r="B3129" s="1">
        <v>893958</v>
      </c>
      <c r="C3129" s="1">
        <v>6189</v>
      </c>
      <c r="D3129" s="2">
        <v>42458</v>
      </c>
      <c r="E3129" s="1" t="s">
        <v>18</v>
      </c>
      <c r="F3129" t="str">
        <f>HYPERLINK("http://www.sec.gov/Archives/edgar/data/893958/0001579445-16-000044-index.html")</f>
        <v>http://www.sec.gov/Archives/edgar/data/893958/0001579445-16-000044-index.html</v>
      </c>
    </row>
    <row r="3130" spans="1:6" x14ac:dyDescent="0.2">
      <c r="A3130" t="s">
        <v>2822</v>
      </c>
      <c r="B3130" s="1">
        <v>893958</v>
      </c>
      <c r="C3130" s="1">
        <v>6189</v>
      </c>
      <c r="D3130" s="2">
        <v>42458</v>
      </c>
      <c r="E3130" s="1" t="s">
        <v>18</v>
      </c>
      <c r="F3130" t="str">
        <f>HYPERLINK("http://www.sec.gov/Archives/edgar/data/893958/0001583965-16-000043-index.html")</f>
        <v>http://www.sec.gov/Archives/edgar/data/893958/0001583965-16-000043-index.html</v>
      </c>
    </row>
    <row r="3131" spans="1:6" x14ac:dyDescent="0.2">
      <c r="A3131" t="s">
        <v>2822</v>
      </c>
      <c r="B3131" s="1">
        <v>893958</v>
      </c>
      <c r="C3131" s="1">
        <v>6189</v>
      </c>
      <c r="D3131" s="2">
        <v>42458</v>
      </c>
      <c r="E3131" s="1" t="s">
        <v>18</v>
      </c>
      <c r="F3131" t="str">
        <f>HYPERLINK("http://www.sec.gov/Archives/edgar/data/893958/0001592264-16-000040-index.html")</f>
        <v>http://www.sec.gov/Archives/edgar/data/893958/0001592264-16-000040-index.html</v>
      </c>
    </row>
    <row r="3132" spans="1:6" x14ac:dyDescent="0.2">
      <c r="A3132" t="s">
        <v>2822</v>
      </c>
      <c r="B3132" s="1">
        <v>893958</v>
      </c>
      <c r="C3132" s="1">
        <v>6189</v>
      </c>
      <c r="D3132" s="2">
        <v>42458</v>
      </c>
      <c r="E3132" s="1" t="s">
        <v>18</v>
      </c>
      <c r="F3132" t="str">
        <f>HYPERLINK("http://www.sec.gov/Archives/edgar/data/893958/0001597032-16-000041-index.html")</f>
        <v>http://www.sec.gov/Archives/edgar/data/893958/0001597032-16-000041-index.html</v>
      </c>
    </row>
    <row r="3133" spans="1:6" x14ac:dyDescent="0.2">
      <c r="A3133" t="s">
        <v>2822</v>
      </c>
      <c r="B3133" s="1">
        <v>893958</v>
      </c>
      <c r="C3133" s="1">
        <v>6189</v>
      </c>
      <c r="D3133" s="2">
        <v>42458</v>
      </c>
      <c r="E3133" s="1" t="s">
        <v>18</v>
      </c>
      <c r="F3133" t="str">
        <f>HYPERLINK("http://www.sec.gov/Archives/edgar/data/893958/0001605435-16-000041-index.html")</f>
        <v>http://www.sec.gov/Archives/edgar/data/893958/0001605435-16-000041-index.html</v>
      </c>
    </row>
    <row r="3134" spans="1:6" x14ac:dyDescent="0.2">
      <c r="A3134" t="s">
        <v>2822</v>
      </c>
      <c r="B3134" s="1">
        <v>893958</v>
      </c>
      <c r="C3134" s="1">
        <v>6189</v>
      </c>
      <c r="D3134" s="2">
        <v>42458</v>
      </c>
      <c r="E3134" s="1" t="s">
        <v>18</v>
      </c>
      <c r="F3134" t="str">
        <f>HYPERLINK("http://www.sec.gov/Archives/edgar/data/893958/0001617626-16-000041-index.html")</f>
        <v>http://www.sec.gov/Archives/edgar/data/893958/0001617626-16-000041-index.html</v>
      </c>
    </row>
    <row r="3135" spans="1:6" x14ac:dyDescent="0.2">
      <c r="A3135" t="s">
        <v>2822</v>
      </c>
      <c r="B3135" s="1">
        <v>893958</v>
      </c>
      <c r="C3135" s="1">
        <v>6189</v>
      </c>
      <c r="D3135" s="2">
        <v>42458</v>
      </c>
      <c r="E3135" s="1" t="s">
        <v>18</v>
      </c>
      <c r="F3135" t="str">
        <f>HYPERLINK("http://www.sec.gov/Archives/edgar/data/893958/0001630924-16-000038-index.html")</f>
        <v>http://www.sec.gov/Archives/edgar/data/893958/0001630924-16-000038-index.html</v>
      </c>
    </row>
    <row r="3136" spans="1:6" x14ac:dyDescent="0.2">
      <c r="A3136" t="s">
        <v>2822</v>
      </c>
      <c r="B3136" s="1">
        <v>893958</v>
      </c>
      <c r="C3136" s="1">
        <v>6189</v>
      </c>
      <c r="D3136" s="2">
        <v>42458</v>
      </c>
      <c r="E3136" s="1" t="s">
        <v>18</v>
      </c>
      <c r="F3136" t="str">
        <f>HYPERLINK("http://www.sec.gov/Archives/edgar/data/893958/0001641832-16-000027-index.html")</f>
        <v>http://www.sec.gov/Archives/edgar/data/893958/0001641832-16-000027-index.html</v>
      </c>
    </row>
    <row r="3137" spans="1:6" x14ac:dyDescent="0.2">
      <c r="A3137" t="s">
        <v>2822</v>
      </c>
      <c r="B3137" s="1">
        <v>893958</v>
      </c>
      <c r="C3137" s="1">
        <v>6189</v>
      </c>
      <c r="D3137" s="2">
        <v>42458</v>
      </c>
      <c r="E3137" s="1" t="s">
        <v>18</v>
      </c>
      <c r="F3137" t="str">
        <f>HYPERLINK("http://www.sec.gov/Archives/edgar/data/893958/0001649616-16-000022-index.html")</f>
        <v>http://www.sec.gov/Archives/edgar/data/893958/0001649616-16-000022-index.html</v>
      </c>
    </row>
    <row r="3138" spans="1:6" x14ac:dyDescent="0.2">
      <c r="A3138" t="s">
        <v>2822</v>
      </c>
      <c r="B3138" s="1">
        <v>893958</v>
      </c>
      <c r="C3138" s="1">
        <v>6189</v>
      </c>
      <c r="D3138" s="2">
        <v>42458</v>
      </c>
      <c r="E3138" s="1" t="s">
        <v>18</v>
      </c>
      <c r="F3138" t="str">
        <f>HYPERLINK("http://www.sec.gov/Archives/edgar/data/893958/0001654785-16-000018-index.html")</f>
        <v>http://www.sec.gov/Archives/edgar/data/893958/0001654785-16-000018-index.html</v>
      </c>
    </row>
    <row r="3139" spans="1:6" x14ac:dyDescent="0.2">
      <c r="A3139" t="s">
        <v>2823</v>
      </c>
      <c r="B3139" s="1">
        <v>894237</v>
      </c>
      <c r="C3139" s="1">
        <v>3845</v>
      </c>
      <c r="D3139" s="2">
        <v>42458</v>
      </c>
      <c r="E3139" s="1" t="s">
        <v>21</v>
      </c>
      <c r="F3139" t="str">
        <f>HYPERLINK("http://www.sec.gov/Archives/edgar/data/894237/0001140361-16-059353-index.html")</f>
        <v>http://www.sec.gov/Archives/edgar/data/894237/0001140361-16-059353-index.html</v>
      </c>
    </row>
    <row r="3140" spans="1:6" x14ac:dyDescent="0.2">
      <c r="A3140" t="s">
        <v>2824</v>
      </c>
      <c r="B3140" s="1">
        <v>910467</v>
      </c>
      <c r="C3140" s="1">
        <v>6221</v>
      </c>
      <c r="D3140" s="2">
        <v>42458</v>
      </c>
      <c r="E3140" s="1" t="s">
        <v>18</v>
      </c>
      <c r="F3140" t="str">
        <f>HYPERLINK("http://www.sec.gov/Archives/edgar/data/910467/0000910467-16-000020-index.html")</f>
        <v>http://www.sec.gov/Archives/edgar/data/910467/0000910467-16-000020-index.html</v>
      </c>
    </row>
    <row r="3141" spans="1:6" x14ac:dyDescent="0.2">
      <c r="A3141" t="s">
        <v>2825</v>
      </c>
      <c r="B3141" s="1">
        <v>91388</v>
      </c>
      <c r="C3141" s="1">
        <v>2011</v>
      </c>
      <c r="D3141" s="2">
        <v>42458</v>
      </c>
      <c r="E3141" s="1" t="s">
        <v>18</v>
      </c>
      <c r="F3141" t="str">
        <f>HYPERLINK("http://www.sec.gov/Archives/edgar/data/91388/0000091388-16-000064-index.html")</f>
        <v>http://www.sec.gov/Archives/edgar/data/91388/0000091388-16-000064-index.html</v>
      </c>
    </row>
    <row r="3142" spans="1:6" x14ac:dyDescent="0.2">
      <c r="A3142" t="s">
        <v>2826</v>
      </c>
      <c r="B3142" s="1">
        <v>946486</v>
      </c>
      <c r="C3142" s="1">
        <v>2836</v>
      </c>
      <c r="D3142" s="2">
        <v>42458</v>
      </c>
      <c r="E3142" s="1" t="s">
        <v>42</v>
      </c>
      <c r="F3142" t="str">
        <f>HYPERLINK("http://www.sec.gov/Archives/edgar/data/946486/0001140361-16-059359-index.html")</f>
        <v>http://www.sec.gov/Archives/edgar/data/946486/0001140361-16-059359-index.html</v>
      </c>
    </row>
    <row r="3143" spans="1:6" x14ac:dyDescent="0.2">
      <c r="A3143" t="s">
        <v>2826</v>
      </c>
      <c r="B3143" s="1">
        <v>946486</v>
      </c>
      <c r="C3143" s="1">
        <v>2836</v>
      </c>
      <c r="D3143" s="2">
        <v>42458</v>
      </c>
      <c r="E3143" s="1" t="s">
        <v>18</v>
      </c>
      <c r="F3143" t="str">
        <f>HYPERLINK("http://www.sec.gov/Archives/edgar/data/946486/0001140361-16-059208-index.html")</f>
        <v>http://www.sec.gov/Archives/edgar/data/946486/0001140361-16-059208-index.html</v>
      </c>
    </row>
    <row r="3144" spans="1:6" x14ac:dyDescent="0.2">
      <c r="A3144" t="s">
        <v>2827</v>
      </c>
      <c r="B3144" s="1">
        <v>946644</v>
      </c>
      <c r="C3144" s="1">
        <v>2836</v>
      </c>
      <c r="D3144" s="2">
        <v>42458</v>
      </c>
      <c r="E3144" s="1" t="s">
        <v>18</v>
      </c>
      <c r="F3144" t="str">
        <f>HYPERLINK("http://www.sec.gov/Archives/edgar/data/946644/0001615774-16-004671-index.html")</f>
        <v>http://www.sec.gov/Archives/edgar/data/946644/0001615774-16-004671-index.html</v>
      </c>
    </row>
    <row r="3145" spans="1:6" x14ac:dyDescent="0.2">
      <c r="A3145" t="s">
        <v>2828</v>
      </c>
      <c r="B3145" s="1">
        <v>99106</v>
      </c>
      <c r="C3145" s="1">
        <v>3990</v>
      </c>
      <c r="D3145" s="2">
        <v>42458</v>
      </c>
      <c r="E3145" s="1" t="s">
        <v>18</v>
      </c>
      <c r="F3145" t="str">
        <f>HYPERLINK("http://www.sec.gov/Archives/edgar/data/99106/0001513162-16-000780-index.html")</f>
        <v>http://www.sec.gov/Archives/edgar/data/99106/0001513162-16-000780-index.html</v>
      </c>
    </row>
    <row r="3146" spans="1:6" x14ac:dyDescent="0.2">
      <c r="A3146" t="s">
        <v>2829</v>
      </c>
      <c r="B3146" s="1">
        <v>1001171</v>
      </c>
      <c r="C3146" s="1">
        <v>6035</v>
      </c>
      <c r="D3146" s="2">
        <v>42457</v>
      </c>
      <c r="E3146" s="1" t="s">
        <v>18</v>
      </c>
      <c r="F3146" t="str">
        <f>HYPERLINK("http://www.sec.gov/Archives/edgar/data/1001171/0001047469-16-011660-index.html")</f>
        <v>http://www.sec.gov/Archives/edgar/data/1001171/0001047469-16-011660-index.html</v>
      </c>
    </row>
    <row r="3147" spans="1:6" x14ac:dyDescent="0.2">
      <c r="A3147" t="s">
        <v>2830</v>
      </c>
      <c r="B3147" s="1">
        <v>1002761</v>
      </c>
      <c r="C3147" s="1">
        <v>6189</v>
      </c>
      <c r="D3147" s="2">
        <v>42457</v>
      </c>
      <c r="E3147" s="1" t="s">
        <v>18</v>
      </c>
      <c r="F3147" t="str">
        <f>HYPERLINK("http://www.sec.gov/Archives/edgar/data/1002761/0001193125-16-519292-index.html")</f>
        <v>http://www.sec.gov/Archives/edgar/data/1002761/0001193125-16-519292-index.html</v>
      </c>
    </row>
    <row r="3148" spans="1:6" x14ac:dyDescent="0.2">
      <c r="A3148" t="s">
        <v>2830</v>
      </c>
      <c r="B3148" s="1">
        <v>1002761</v>
      </c>
      <c r="C3148" s="1">
        <v>6189</v>
      </c>
      <c r="D3148" s="2">
        <v>42457</v>
      </c>
      <c r="E3148" s="1" t="s">
        <v>18</v>
      </c>
      <c r="F3148" t="str">
        <f>HYPERLINK("http://www.sec.gov/Archives/edgar/data/1002761/0001193125-16-519308-index.html")</f>
        <v>http://www.sec.gov/Archives/edgar/data/1002761/0001193125-16-519308-index.html</v>
      </c>
    </row>
    <row r="3149" spans="1:6" x14ac:dyDescent="0.2">
      <c r="A3149" t="s">
        <v>2830</v>
      </c>
      <c r="B3149" s="1">
        <v>1002761</v>
      </c>
      <c r="C3149" s="1">
        <v>6189</v>
      </c>
      <c r="D3149" s="2">
        <v>42457</v>
      </c>
      <c r="E3149" s="1" t="s">
        <v>18</v>
      </c>
      <c r="F3149" t="str">
        <f>HYPERLINK("http://www.sec.gov/Archives/edgar/data/1002761/0001193125-16-519316-index.html")</f>
        <v>http://www.sec.gov/Archives/edgar/data/1002761/0001193125-16-519316-index.html</v>
      </c>
    </row>
    <row r="3150" spans="1:6" x14ac:dyDescent="0.2">
      <c r="A3150" t="s">
        <v>2830</v>
      </c>
      <c r="B3150" s="1">
        <v>1002761</v>
      </c>
      <c r="C3150" s="1">
        <v>6189</v>
      </c>
      <c r="D3150" s="2">
        <v>42457</v>
      </c>
      <c r="E3150" s="1" t="s">
        <v>18</v>
      </c>
      <c r="F3150" t="str">
        <f>HYPERLINK("http://www.sec.gov/Archives/edgar/data/1002761/0001193125-16-519326-index.html")</f>
        <v>http://www.sec.gov/Archives/edgar/data/1002761/0001193125-16-519326-index.html</v>
      </c>
    </row>
    <row r="3151" spans="1:6" x14ac:dyDescent="0.2">
      <c r="A3151" t="s">
        <v>2830</v>
      </c>
      <c r="B3151" s="1">
        <v>1002761</v>
      </c>
      <c r="C3151" s="1">
        <v>6189</v>
      </c>
      <c r="D3151" s="2">
        <v>42457</v>
      </c>
      <c r="E3151" s="1" t="s">
        <v>18</v>
      </c>
      <c r="F3151" t="str">
        <f>HYPERLINK("http://www.sec.gov/Archives/edgar/data/1002761/0001193125-16-519330-index.html")</f>
        <v>http://www.sec.gov/Archives/edgar/data/1002761/0001193125-16-519330-index.html</v>
      </c>
    </row>
    <row r="3152" spans="1:6" x14ac:dyDescent="0.2">
      <c r="A3152" t="s">
        <v>2830</v>
      </c>
      <c r="B3152" s="1">
        <v>1002761</v>
      </c>
      <c r="C3152" s="1">
        <v>6189</v>
      </c>
      <c r="D3152" s="2">
        <v>42457</v>
      </c>
      <c r="E3152" s="1" t="s">
        <v>18</v>
      </c>
      <c r="F3152" t="str">
        <f>HYPERLINK("http://www.sec.gov/Archives/edgar/data/1002761/0001193125-16-519334-index.html")</f>
        <v>http://www.sec.gov/Archives/edgar/data/1002761/0001193125-16-519334-index.html</v>
      </c>
    </row>
    <row r="3153" spans="1:6" x14ac:dyDescent="0.2">
      <c r="A3153" t="s">
        <v>2830</v>
      </c>
      <c r="B3153" s="1">
        <v>1002761</v>
      </c>
      <c r="C3153" s="1">
        <v>6189</v>
      </c>
      <c r="D3153" s="2">
        <v>42457</v>
      </c>
      <c r="E3153" s="1" t="s">
        <v>18</v>
      </c>
      <c r="F3153" t="str">
        <f>HYPERLINK("http://www.sec.gov/Archives/edgar/data/1002761/0001193125-16-519358-index.html")</f>
        <v>http://www.sec.gov/Archives/edgar/data/1002761/0001193125-16-519358-index.html</v>
      </c>
    </row>
    <row r="3154" spans="1:6" x14ac:dyDescent="0.2">
      <c r="A3154" t="s">
        <v>2830</v>
      </c>
      <c r="B3154" s="1">
        <v>1002761</v>
      </c>
      <c r="C3154" s="1">
        <v>6189</v>
      </c>
      <c r="D3154" s="2">
        <v>42457</v>
      </c>
      <c r="E3154" s="1" t="s">
        <v>18</v>
      </c>
      <c r="F3154" t="str">
        <f>HYPERLINK("http://www.sec.gov/Archives/edgar/data/1002761/0001193125-16-519362-index.html")</f>
        <v>http://www.sec.gov/Archives/edgar/data/1002761/0001193125-16-519362-index.html</v>
      </c>
    </row>
    <row r="3155" spans="1:6" x14ac:dyDescent="0.2">
      <c r="A3155" t="s">
        <v>2830</v>
      </c>
      <c r="B3155" s="1">
        <v>1002761</v>
      </c>
      <c r="C3155" s="1">
        <v>6189</v>
      </c>
      <c r="D3155" s="2">
        <v>42457</v>
      </c>
      <c r="E3155" s="1" t="s">
        <v>18</v>
      </c>
      <c r="F3155" t="str">
        <f>HYPERLINK("http://www.sec.gov/Archives/edgar/data/1002761/0001193125-16-519366-index.html")</f>
        <v>http://www.sec.gov/Archives/edgar/data/1002761/0001193125-16-519366-index.html</v>
      </c>
    </row>
    <row r="3156" spans="1:6" x14ac:dyDescent="0.2">
      <c r="A3156" t="s">
        <v>2830</v>
      </c>
      <c r="B3156" s="1">
        <v>1002761</v>
      </c>
      <c r="C3156" s="1">
        <v>6189</v>
      </c>
      <c r="D3156" s="2">
        <v>42457</v>
      </c>
      <c r="E3156" s="1" t="s">
        <v>18</v>
      </c>
      <c r="F3156" t="str">
        <f>HYPERLINK("http://www.sec.gov/Archives/edgar/data/1002761/0001193125-16-519380-index.html")</f>
        <v>http://www.sec.gov/Archives/edgar/data/1002761/0001193125-16-519380-index.html</v>
      </c>
    </row>
    <row r="3157" spans="1:6" x14ac:dyDescent="0.2">
      <c r="A3157" t="s">
        <v>2830</v>
      </c>
      <c r="B3157" s="1">
        <v>1002761</v>
      </c>
      <c r="C3157" s="1">
        <v>6189</v>
      </c>
      <c r="D3157" s="2">
        <v>42457</v>
      </c>
      <c r="E3157" s="1" t="s">
        <v>18</v>
      </c>
      <c r="F3157" t="str">
        <f>HYPERLINK("http://www.sec.gov/Archives/edgar/data/1002761/0001193125-16-519388-index.html")</f>
        <v>http://www.sec.gov/Archives/edgar/data/1002761/0001193125-16-519388-index.html</v>
      </c>
    </row>
    <row r="3158" spans="1:6" x14ac:dyDescent="0.2">
      <c r="A3158" t="s">
        <v>2830</v>
      </c>
      <c r="B3158" s="1">
        <v>1002761</v>
      </c>
      <c r="C3158" s="1">
        <v>6189</v>
      </c>
      <c r="D3158" s="2">
        <v>42457</v>
      </c>
      <c r="E3158" s="1" t="s">
        <v>18</v>
      </c>
      <c r="F3158" t="str">
        <f>HYPERLINK("http://www.sec.gov/Archives/edgar/data/1002761/0001193125-16-519392-index.html")</f>
        <v>http://www.sec.gov/Archives/edgar/data/1002761/0001193125-16-519392-index.html</v>
      </c>
    </row>
    <row r="3159" spans="1:6" x14ac:dyDescent="0.2">
      <c r="A3159" t="s">
        <v>2830</v>
      </c>
      <c r="B3159" s="1">
        <v>1002761</v>
      </c>
      <c r="C3159" s="1">
        <v>6189</v>
      </c>
      <c r="D3159" s="2">
        <v>42457</v>
      </c>
      <c r="E3159" s="1" t="s">
        <v>18</v>
      </c>
      <c r="F3159" t="str">
        <f>HYPERLINK("http://www.sec.gov/Archives/edgar/data/1002761/0001193125-16-519399-index.html")</f>
        <v>http://www.sec.gov/Archives/edgar/data/1002761/0001193125-16-519399-index.html</v>
      </c>
    </row>
    <row r="3160" spans="1:6" x14ac:dyDescent="0.2">
      <c r="A3160" t="s">
        <v>2830</v>
      </c>
      <c r="B3160" s="1">
        <v>1002761</v>
      </c>
      <c r="C3160" s="1">
        <v>6189</v>
      </c>
      <c r="D3160" s="2">
        <v>42457</v>
      </c>
      <c r="E3160" s="1" t="s">
        <v>18</v>
      </c>
      <c r="F3160" t="str">
        <f>HYPERLINK("http://www.sec.gov/Archives/edgar/data/1002761/0001193125-16-519403-index.html")</f>
        <v>http://www.sec.gov/Archives/edgar/data/1002761/0001193125-16-519403-index.html</v>
      </c>
    </row>
    <row r="3161" spans="1:6" x14ac:dyDescent="0.2">
      <c r="A3161" t="s">
        <v>2830</v>
      </c>
      <c r="B3161" s="1">
        <v>1002761</v>
      </c>
      <c r="C3161" s="1">
        <v>6189</v>
      </c>
      <c r="D3161" s="2">
        <v>42457</v>
      </c>
      <c r="E3161" s="1" t="s">
        <v>18</v>
      </c>
      <c r="F3161" t="str">
        <f>HYPERLINK("http://www.sec.gov/Archives/edgar/data/1002761/0001193125-16-519414-index.html")</f>
        <v>http://www.sec.gov/Archives/edgar/data/1002761/0001193125-16-519414-index.html</v>
      </c>
    </row>
    <row r="3162" spans="1:6" x14ac:dyDescent="0.2">
      <c r="A3162" t="s">
        <v>2830</v>
      </c>
      <c r="B3162" s="1">
        <v>1002761</v>
      </c>
      <c r="C3162" s="1">
        <v>6189</v>
      </c>
      <c r="D3162" s="2">
        <v>42457</v>
      </c>
      <c r="E3162" s="1" t="s">
        <v>18</v>
      </c>
      <c r="F3162" t="str">
        <f>HYPERLINK("http://www.sec.gov/Archives/edgar/data/1002761/0001193125-16-519415-index.html")</f>
        <v>http://www.sec.gov/Archives/edgar/data/1002761/0001193125-16-519415-index.html</v>
      </c>
    </row>
    <row r="3163" spans="1:6" x14ac:dyDescent="0.2">
      <c r="A3163" t="s">
        <v>2830</v>
      </c>
      <c r="B3163" s="1">
        <v>1002761</v>
      </c>
      <c r="C3163" s="1">
        <v>6189</v>
      </c>
      <c r="D3163" s="2">
        <v>42457</v>
      </c>
      <c r="E3163" s="1" t="s">
        <v>18</v>
      </c>
      <c r="F3163" t="str">
        <f>HYPERLINK("http://www.sec.gov/Archives/edgar/data/1002761/0001193125-16-519424-index.html")</f>
        <v>http://www.sec.gov/Archives/edgar/data/1002761/0001193125-16-519424-index.html</v>
      </c>
    </row>
    <row r="3164" spans="1:6" x14ac:dyDescent="0.2">
      <c r="A3164" t="s">
        <v>2830</v>
      </c>
      <c r="B3164" s="1">
        <v>1002761</v>
      </c>
      <c r="C3164" s="1">
        <v>6189</v>
      </c>
      <c r="D3164" s="2">
        <v>42457</v>
      </c>
      <c r="E3164" s="1" t="s">
        <v>18</v>
      </c>
      <c r="F3164" t="str">
        <f>HYPERLINK("http://www.sec.gov/Archives/edgar/data/1002761/0001193125-16-519431-index.html")</f>
        <v>http://www.sec.gov/Archives/edgar/data/1002761/0001193125-16-519431-index.html</v>
      </c>
    </row>
    <row r="3165" spans="1:6" x14ac:dyDescent="0.2">
      <c r="A3165" t="s">
        <v>2830</v>
      </c>
      <c r="B3165" s="1">
        <v>1002761</v>
      </c>
      <c r="C3165" s="1">
        <v>6189</v>
      </c>
      <c r="D3165" s="2">
        <v>42457</v>
      </c>
      <c r="E3165" s="1" t="s">
        <v>18</v>
      </c>
      <c r="F3165" t="str">
        <f>HYPERLINK("http://www.sec.gov/Archives/edgar/data/1002761/0001193125-16-519438-index.html")</f>
        <v>http://www.sec.gov/Archives/edgar/data/1002761/0001193125-16-519438-index.html</v>
      </c>
    </row>
    <row r="3166" spans="1:6" x14ac:dyDescent="0.2">
      <c r="A3166" t="s">
        <v>2830</v>
      </c>
      <c r="B3166" s="1">
        <v>1002761</v>
      </c>
      <c r="C3166" s="1">
        <v>6189</v>
      </c>
      <c r="D3166" s="2">
        <v>42457</v>
      </c>
      <c r="E3166" s="1" t="s">
        <v>18</v>
      </c>
      <c r="F3166" t="str">
        <f>HYPERLINK("http://www.sec.gov/Archives/edgar/data/1002761/0001193125-16-519445-index.html")</f>
        <v>http://www.sec.gov/Archives/edgar/data/1002761/0001193125-16-519445-index.html</v>
      </c>
    </row>
    <row r="3167" spans="1:6" x14ac:dyDescent="0.2">
      <c r="A3167" t="s">
        <v>2830</v>
      </c>
      <c r="B3167" s="1">
        <v>1002761</v>
      </c>
      <c r="C3167" s="1">
        <v>6189</v>
      </c>
      <c r="D3167" s="2">
        <v>42457</v>
      </c>
      <c r="E3167" s="1" t="s">
        <v>18</v>
      </c>
      <c r="F3167" t="str">
        <f>HYPERLINK("http://www.sec.gov/Archives/edgar/data/1002761/0001193125-16-519454-index.html")</f>
        <v>http://www.sec.gov/Archives/edgar/data/1002761/0001193125-16-519454-index.html</v>
      </c>
    </row>
    <row r="3168" spans="1:6" x14ac:dyDescent="0.2">
      <c r="A3168" t="s">
        <v>2830</v>
      </c>
      <c r="B3168" s="1">
        <v>1002761</v>
      </c>
      <c r="C3168" s="1">
        <v>6189</v>
      </c>
      <c r="D3168" s="2">
        <v>42457</v>
      </c>
      <c r="E3168" s="1" t="s">
        <v>18</v>
      </c>
      <c r="F3168" t="str">
        <f>HYPERLINK("http://www.sec.gov/Archives/edgar/data/1002761/0001193125-16-519457-index.html")</f>
        <v>http://www.sec.gov/Archives/edgar/data/1002761/0001193125-16-519457-index.html</v>
      </c>
    </row>
    <row r="3169" spans="1:6" x14ac:dyDescent="0.2">
      <c r="A3169" t="s">
        <v>2831</v>
      </c>
      <c r="B3169" s="1">
        <v>1003509</v>
      </c>
      <c r="C3169" s="1">
        <v>6189</v>
      </c>
      <c r="D3169" s="2">
        <v>42457</v>
      </c>
      <c r="E3169" s="1" t="s">
        <v>18</v>
      </c>
      <c r="F3169" t="str">
        <f>HYPERLINK("http://www.sec.gov/Archives/edgar/data/1003509/0001193125-16-519532-index.html")</f>
        <v>http://www.sec.gov/Archives/edgar/data/1003509/0001193125-16-519532-index.html</v>
      </c>
    </row>
    <row r="3170" spans="1:6" x14ac:dyDescent="0.2">
      <c r="A3170" t="s">
        <v>2832</v>
      </c>
      <c r="B3170" s="1">
        <v>1016708</v>
      </c>
      <c r="C3170" s="1">
        <v>1382</v>
      </c>
      <c r="D3170" s="2">
        <v>42457</v>
      </c>
      <c r="E3170" s="1" t="s">
        <v>18</v>
      </c>
      <c r="F3170" t="str">
        <f>HYPERLINK("http://www.sec.gov/Archives/edgar/data/1016708/0001477932-16-009210-index.html")</f>
        <v>http://www.sec.gov/Archives/edgar/data/1016708/0001477932-16-009210-index.html</v>
      </c>
    </row>
    <row r="3171" spans="1:6" x14ac:dyDescent="0.2">
      <c r="A3171" t="s">
        <v>2833</v>
      </c>
      <c r="B3171" s="1">
        <v>1017480</v>
      </c>
      <c r="C3171" s="1">
        <v>5940</v>
      </c>
      <c r="D3171" s="2">
        <v>42457</v>
      </c>
      <c r="E3171" s="1" t="s">
        <v>18</v>
      </c>
      <c r="F3171" t="str">
        <f>HYPERLINK("http://www.sec.gov/Archives/edgar/data/1017480/0001017480-16-000052-index.html")</f>
        <v>http://www.sec.gov/Archives/edgar/data/1017480/0001017480-16-000052-index.html</v>
      </c>
    </row>
    <row r="3172" spans="1:6" x14ac:dyDescent="0.2">
      <c r="A3172" t="s">
        <v>2834</v>
      </c>
      <c r="B3172" s="1">
        <v>1018840</v>
      </c>
      <c r="C3172" s="1">
        <v>5651</v>
      </c>
      <c r="D3172" s="2">
        <v>42457</v>
      </c>
      <c r="E3172" s="1" t="s">
        <v>18</v>
      </c>
      <c r="F3172" t="str">
        <f>HYPERLINK("http://www.sec.gov/Archives/edgar/data/1018840/0001018840-16-000080-index.html")</f>
        <v>http://www.sec.gov/Archives/edgar/data/1018840/0001018840-16-000080-index.html</v>
      </c>
    </row>
    <row r="3173" spans="1:6" x14ac:dyDescent="0.2">
      <c r="A3173" t="s">
        <v>2835</v>
      </c>
      <c r="B3173" s="1">
        <v>1020475</v>
      </c>
      <c r="C3173" s="1">
        <v>7374</v>
      </c>
      <c r="D3173" s="2">
        <v>42457</v>
      </c>
      <c r="E3173" s="1" t="s">
        <v>18</v>
      </c>
      <c r="F3173" t="str">
        <f>HYPERLINK("http://www.sec.gov/Archives/edgar/data/1020475/0001144204-16-090678-index.html")</f>
        <v>http://www.sec.gov/Archives/edgar/data/1020475/0001144204-16-090678-index.html</v>
      </c>
    </row>
    <row r="3174" spans="1:6" x14ac:dyDescent="0.2">
      <c r="A3174" t="s">
        <v>2836</v>
      </c>
      <c r="B3174" s="1">
        <v>1021604</v>
      </c>
      <c r="C3174" s="1">
        <v>3674</v>
      </c>
      <c r="D3174" s="2">
        <v>42457</v>
      </c>
      <c r="E3174" s="1" t="s">
        <v>18</v>
      </c>
      <c r="F3174" t="str">
        <f>HYPERLINK("http://www.sec.gov/Archives/edgar/data/1021604/0001178913-16-004887-index.html")</f>
        <v>http://www.sec.gov/Archives/edgar/data/1021604/0001178913-16-004887-index.html</v>
      </c>
    </row>
    <row r="3175" spans="1:6" x14ac:dyDescent="0.2">
      <c r="A3175" t="s">
        <v>2837</v>
      </c>
      <c r="B3175" s="1">
        <v>1027099</v>
      </c>
      <c r="C3175" s="1">
        <v>6221</v>
      </c>
      <c r="D3175" s="2">
        <v>42457</v>
      </c>
      <c r="E3175" s="1" t="s">
        <v>18</v>
      </c>
      <c r="F3175" t="str">
        <f>HYPERLINK("http://www.sec.gov/Archives/edgar/data/1027099/0001185185-16-004012-index.html")</f>
        <v>http://www.sec.gov/Archives/edgar/data/1027099/0001185185-16-004012-index.html</v>
      </c>
    </row>
    <row r="3176" spans="1:6" x14ac:dyDescent="0.2">
      <c r="A3176" t="s">
        <v>2838</v>
      </c>
      <c r="B3176" s="1">
        <v>1029831</v>
      </c>
      <c r="C3176" s="1">
        <v>5080</v>
      </c>
      <c r="D3176" s="2">
        <v>42457</v>
      </c>
      <c r="E3176" s="1" t="s">
        <v>18</v>
      </c>
      <c r="F3176" t="str">
        <f>HYPERLINK("http://www.sec.gov/Archives/edgar/data/1029831/0001628280-16-013205-index.html")</f>
        <v>http://www.sec.gov/Archives/edgar/data/1029831/0001628280-16-013205-index.html</v>
      </c>
    </row>
    <row r="3177" spans="1:6" x14ac:dyDescent="0.2">
      <c r="A3177" t="s">
        <v>2839</v>
      </c>
      <c r="B3177" s="1">
        <v>1030192</v>
      </c>
      <c r="C3177" s="1">
        <v>1040</v>
      </c>
      <c r="D3177" s="2">
        <v>42457</v>
      </c>
      <c r="E3177" s="1" t="s">
        <v>18</v>
      </c>
      <c r="F3177" t="str">
        <f>HYPERLINK("http://www.sec.gov/Archives/edgar/data/1030192/0001052918-16-000893-index.html")</f>
        <v>http://www.sec.gov/Archives/edgar/data/1030192/0001052918-16-000893-index.html</v>
      </c>
    </row>
    <row r="3178" spans="1:6" x14ac:dyDescent="0.2">
      <c r="A3178" t="s">
        <v>2840</v>
      </c>
      <c r="B3178" s="1">
        <v>1034594</v>
      </c>
      <c r="C3178" s="1">
        <v>6022</v>
      </c>
      <c r="D3178" s="2">
        <v>42457</v>
      </c>
      <c r="E3178" s="1" t="s">
        <v>18</v>
      </c>
      <c r="F3178" t="str">
        <f>HYPERLINK("http://www.sec.gov/Archives/edgar/data/1034594/0001193125-16-519674-index.html")</f>
        <v>http://www.sec.gov/Archives/edgar/data/1034594/0001193125-16-519674-index.html</v>
      </c>
    </row>
    <row r="3179" spans="1:6" x14ac:dyDescent="0.2">
      <c r="A3179" t="s">
        <v>2841</v>
      </c>
      <c r="B3179" s="1">
        <v>1037189</v>
      </c>
      <c r="C3179" s="1">
        <v>6221</v>
      </c>
      <c r="D3179" s="2">
        <v>42457</v>
      </c>
      <c r="E3179" s="1" t="s">
        <v>18</v>
      </c>
      <c r="F3179" t="str">
        <f>HYPERLINK("http://www.sec.gov/Archives/edgar/data/1037189/0001193125-16-519569-index.html")</f>
        <v>http://www.sec.gov/Archives/edgar/data/1037189/0001193125-16-519569-index.html</v>
      </c>
    </row>
    <row r="3180" spans="1:6" x14ac:dyDescent="0.2">
      <c r="A3180" t="s">
        <v>2842</v>
      </c>
      <c r="B3180" s="1">
        <v>1040792</v>
      </c>
      <c r="C3180" s="1">
        <v>7380</v>
      </c>
      <c r="D3180" s="2">
        <v>42457</v>
      </c>
      <c r="E3180" s="1" t="s">
        <v>18</v>
      </c>
      <c r="F3180" t="str">
        <f>HYPERLINK("http://www.sec.gov/Archives/edgar/data/1040792/0001437749-16-028509-index.html")</f>
        <v>http://www.sec.gov/Archives/edgar/data/1040792/0001437749-16-028509-index.html</v>
      </c>
    </row>
    <row r="3181" spans="1:6" x14ac:dyDescent="0.2">
      <c r="A3181" t="s">
        <v>2843</v>
      </c>
      <c r="B3181" s="1">
        <v>1043565</v>
      </c>
      <c r="C3181" s="1">
        <v>6221</v>
      </c>
      <c r="D3181" s="2">
        <v>42457</v>
      </c>
      <c r="E3181" s="1" t="s">
        <v>18</v>
      </c>
      <c r="F3181" t="str">
        <f>HYPERLINK("http://www.sec.gov/Archives/edgar/data/1043565/0001193125-16-519598-index.html")</f>
        <v>http://www.sec.gov/Archives/edgar/data/1043565/0001193125-16-519598-index.html</v>
      </c>
    </row>
    <row r="3182" spans="1:6" x14ac:dyDescent="0.2">
      <c r="A3182" t="s">
        <v>2844</v>
      </c>
      <c r="B3182" s="1">
        <v>1057051</v>
      </c>
      <c r="C3182" s="1">
        <v>6200</v>
      </c>
      <c r="D3182" s="2">
        <v>42457</v>
      </c>
      <c r="E3182" s="1" t="s">
        <v>18</v>
      </c>
      <c r="F3182" t="str">
        <f>HYPERLINK("http://www.sec.gov/Archives/edgar/data/1057051/0001193125-16-519595-index.html")</f>
        <v>http://www.sec.gov/Archives/edgar/data/1057051/0001193125-16-519595-index.html</v>
      </c>
    </row>
    <row r="3183" spans="1:6" x14ac:dyDescent="0.2">
      <c r="A3183" t="s">
        <v>2845</v>
      </c>
      <c r="B3183" s="1">
        <v>1065201</v>
      </c>
      <c r="C3183" s="1">
        <v>6399</v>
      </c>
      <c r="D3183" s="2">
        <v>42457</v>
      </c>
      <c r="E3183" s="1" t="s">
        <v>18</v>
      </c>
      <c r="F3183" t="str">
        <f>HYPERLINK("http://www.sec.gov/Archives/edgar/data/1065201/0001193125-16-519524-index.html")</f>
        <v>http://www.sec.gov/Archives/edgar/data/1065201/0001193125-16-519524-index.html</v>
      </c>
    </row>
    <row r="3184" spans="1:6" x14ac:dyDescent="0.2">
      <c r="A3184" t="s">
        <v>2846</v>
      </c>
      <c r="B3184" s="1">
        <v>1066656</v>
      </c>
      <c r="C3184" s="1">
        <v>6221</v>
      </c>
      <c r="D3184" s="2">
        <v>42457</v>
      </c>
      <c r="E3184" s="1" t="s">
        <v>18</v>
      </c>
      <c r="F3184" t="str">
        <f>HYPERLINK("http://www.sec.gov/Archives/edgar/data/1066656/0001193125-16-519600-index.html")</f>
        <v>http://www.sec.gov/Archives/edgar/data/1066656/0001193125-16-519600-index.html</v>
      </c>
    </row>
    <row r="3185" spans="1:6" x14ac:dyDescent="0.2">
      <c r="A3185" t="s">
        <v>2847</v>
      </c>
      <c r="B3185" s="1">
        <v>1066658</v>
      </c>
      <c r="C3185" s="1">
        <v>6221</v>
      </c>
      <c r="D3185" s="2">
        <v>42457</v>
      </c>
      <c r="E3185" s="1" t="s">
        <v>18</v>
      </c>
      <c r="F3185" t="str">
        <f>HYPERLINK("http://www.sec.gov/Archives/edgar/data/1066658/0001193125-16-519581-index.html")</f>
        <v>http://www.sec.gov/Archives/edgar/data/1066658/0001193125-16-519581-index.html</v>
      </c>
    </row>
    <row r="3186" spans="1:6" x14ac:dyDescent="0.2">
      <c r="A3186" t="s">
        <v>2848</v>
      </c>
      <c r="B3186" s="1">
        <v>1068237</v>
      </c>
      <c r="C3186" s="1">
        <v>6221</v>
      </c>
      <c r="D3186" s="2">
        <v>42457</v>
      </c>
      <c r="E3186" s="1" t="s">
        <v>18</v>
      </c>
      <c r="F3186" t="str">
        <f>HYPERLINK("http://www.sec.gov/Archives/edgar/data/1068237/0001193125-16-519559-index.html")</f>
        <v>http://www.sec.gov/Archives/edgar/data/1068237/0001193125-16-519559-index.html</v>
      </c>
    </row>
    <row r="3187" spans="1:6" x14ac:dyDescent="0.2">
      <c r="A3187" t="s">
        <v>2849</v>
      </c>
      <c r="B3187" s="1">
        <v>1071411</v>
      </c>
      <c r="C3187" s="1">
        <v>7372</v>
      </c>
      <c r="D3187" s="2">
        <v>42457</v>
      </c>
      <c r="E3187" s="1" t="s">
        <v>18</v>
      </c>
      <c r="F3187" t="str">
        <f>HYPERLINK("http://www.sec.gov/Archives/edgar/data/1071411/0001354488-16-006709-index.html")</f>
        <v>http://www.sec.gov/Archives/edgar/data/1071411/0001354488-16-006709-index.html</v>
      </c>
    </row>
    <row r="3188" spans="1:6" x14ac:dyDescent="0.2">
      <c r="A3188" t="s">
        <v>2850</v>
      </c>
      <c r="B3188" s="1">
        <v>1081745</v>
      </c>
      <c r="C3188" s="1">
        <v>7372</v>
      </c>
      <c r="D3188" s="2">
        <v>42457</v>
      </c>
      <c r="E3188" s="1" t="s">
        <v>18</v>
      </c>
      <c r="F3188" t="str">
        <f>HYPERLINK("http://www.sec.gov/Archives/edgar/data/1081745/0001144204-16-090633-index.html")</f>
        <v>http://www.sec.gov/Archives/edgar/data/1081745/0001144204-16-090633-index.html</v>
      </c>
    </row>
    <row r="3189" spans="1:6" x14ac:dyDescent="0.2">
      <c r="A3189" t="s">
        <v>2851</v>
      </c>
      <c r="B3189" s="1">
        <v>1089511</v>
      </c>
      <c r="C3189" s="1">
        <v>4813</v>
      </c>
      <c r="D3189" s="2">
        <v>42457</v>
      </c>
      <c r="E3189" s="1" t="s">
        <v>18</v>
      </c>
      <c r="F3189" t="str">
        <f>HYPERLINK("http://www.sec.gov/Archives/edgar/data/1089511/0001193125-16-519797-index.html")</f>
        <v>http://www.sec.gov/Archives/edgar/data/1089511/0001193125-16-519797-index.html</v>
      </c>
    </row>
    <row r="3190" spans="1:6" x14ac:dyDescent="0.2">
      <c r="A3190" t="s">
        <v>2852</v>
      </c>
      <c r="B3190" s="1">
        <v>1095007</v>
      </c>
      <c r="C3190" s="1">
        <v>6221</v>
      </c>
      <c r="D3190" s="2">
        <v>42457</v>
      </c>
      <c r="E3190" s="1" t="s">
        <v>18</v>
      </c>
      <c r="F3190" t="str">
        <f>HYPERLINK("http://www.sec.gov/Archives/edgar/data/1095007/0001193125-16-519548-index.html")</f>
        <v>http://www.sec.gov/Archives/edgar/data/1095007/0001193125-16-519548-index.html</v>
      </c>
    </row>
    <row r="3191" spans="1:6" x14ac:dyDescent="0.2">
      <c r="A3191" t="s">
        <v>2853</v>
      </c>
      <c r="B3191" s="1">
        <v>1097396</v>
      </c>
      <c r="C3191" s="1">
        <v>6221</v>
      </c>
      <c r="D3191" s="2">
        <v>42457</v>
      </c>
      <c r="E3191" s="1" t="s">
        <v>18</v>
      </c>
      <c r="F3191" t="str">
        <f>HYPERLINK("http://www.sec.gov/Archives/edgar/data/1097396/0001193125-16-519741-index.html")</f>
        <v>http://www.sec.gov/Archives/edgar/data/1097396/0001193125-16-519741-index.html</v>
      </c>
    </row>
    <row r="3192" spans="1:6" x14ac:dyDescent="0.2">
      <c r="A3192" t="s">
        <v>2854</v>
      </c>
      <c r="B3192" s="1">
        <v>1110361</v>
      </c>
      <c r="C3192" s="1">
        <v>3570</v>
      </c>
      <c r="D3192" s="2">
        <v>42457</v>
      </c>
      <c r="E3192" s="1" t="s">
        <v>18</v>
      </c>
      <c r="F3192" t="str">
        <f>HYPERLINK("http://www.sec.gov/Archives/edgar/data/1110361/0001437749-16-028505-index.html")</f>
        <v>http://www.sec.gov/Archives/edgar/data/1110361/0001437749-16-028505-index.html</v>
      </c>
    </row>
    <row r="3193" spans="1:6" x14ac:dyDescent="0.2">
      <c r="A3193" t="s">
        <v>2855</v>
      </c>
      <c r="B3193" s="1">
        <v>1130598</v>
      </c>
      <c r="C3193" s="1">
        <v>2834</v>
      </c>
      <c r="D3193" s="2">
        <v>42457</v>
      </c>
      <c r="E3193" s="1" t="s">
        <v>18</v>
      </c>
      <c r="F3193" t="str">
        <f>HYPERLINK("http://www.sec.gov/Archives/edgar/data/1130598/0001047469-16-011628-index.html")</f>
        <v>http://www.sec.gov/Archives/edgar/data/1130598/0001047469-16-011628-index.html</v>
      </c>
    </row>
    <row r="3194" spans="1:6" x14ac:dyDescent="0.2">
      <c r="A3194" t="s">
        <v>2856</v>
      </c>
      <c r="B3194" s="1">
        <v>1169749</v>
      </c>
      <c r="C3194" s="1">
        <v>6221</v>
      </c>
      <c r="D3194" s="2">
        <v>42457</v>
      </c>
      <c r="E3194" s="1" t="s">
        <v>18</v>
      </c>
      <c r="F3194" t="str">
        <f>HYPERLINK("http://www.sec.gov/Archives/edgar/data/1169749/0001193125-16-519591-index.html")</f>
        <v>http://www.sec.gov/Archives/edgar/data/1169749/0001193125-16-519591-index.html</v>
      </c>
    </row>
    <row r="3195" spans="1:6" x14ac:dyDescent="0.2">
      <c r="A3195" t="s">
        <v>2857</v>
      </c>
      <c r="B3195" s="1">
        <v>1183082</v>
      </c>
      <c r="C3195" s="1">
        <v>6199</v>
      </c>
      <c r="D3195" s="2">
        <v>42457</v>
      </c>
      <c r="E3195" s="1" t="s">
        <v>18</v>
      </c>
      <c r="F3195" t="str">
        <f>HYPERLINK("http://www.sec.gov/Archives/edgar/data/1183082/0001052918-16-000889-index.html")</f>
        <v>http://www.sec.gov/Archives/edgar/data/1183082/0001052918-16-000889-index.html</v>
      </c>
    </row>
    <row r="3196" spans="1:6" x14ac:dyDescent="0.2">
      <c r="A3196" t="s">
        <v>2858</v>
      </c>
      <c r="B3196" s="1">
        <v>1209709</v>
      </c>
      <c r="C3196" s="1">
        <v>6798</v>
      </c>
      <c r="D3196" s="2">
        <v>42457</v>
      </c>
      <c r="E3196" s="1" t="s">
        <v>18</v>
      </c>
      <c r="F3196" t="str">
        <f>HYPERLINK("http://www.sec.gov/Archives/edgar/data/1209709/0001193125-16-519746-index.html")</f>
        <v>http://www.sec.gov/Archives/edgar/data/1209709/0001193125-16-519746-index.html</v>
      </c>
    </row>
    <row r="3197" spans="1:6" x14ac:dyDescent="0.2">
      <c r="A3197" t="s">
        <v>2859</v>
      </c>
      <c r="B3197" s="1">
        <v>1211583</v>
      </c>
      <c r="C3197" s="1">
        <v>2836</v>
      </c>
      <c r="D3197" s="2">
        <v>42457</v>
      </c>
      <c r="E3197" s="1" t="s">
        <v>18</v>
      </c>
      <c r="F3197" t="str">
        <f>HYPERLINK("http://www.sec.gov/Archives/edgar/data/1211583/0001144204-16-090604-index.html")</f>
        <v>http://www.sec.gov/Archives/edgar/data/1211583/0001144204-16-090604-index.html</v>
      </c>
    </row>
    <row r="3198" spans="1:6" x14ac:dyDescent="0.2">
      <c r="A3198" t="s">
        <v>2860</v>
      </c>
      <c r="B3198" s="1">
        <v>1227265</v>
      </c>
      <c r="C3198" s="1">
        <v>6221</v>
      </c>
      <c r="D3198" s="2">
        <v>42457</v>
      </c>
      <c r="E3198" s="1" t="s">
        <v>18</v>
      </c>
      <c r="F3198" t="str">
        <f>HYPERLINK("http://www.sec.gov/Archives/edgar/data/1227265/0001193125-16-519682-index.html")</f>
        <v>http://www.sec.gov/Archives/edgar/data/1227265/0001193125-16-519682-index.html</v>
      </c>
    </row>
    <row r="3199" spans="1:6" x14ac:dyDescent="0.2">
      <c r="A3199" t="s">
        <v>2861</v>
      </c>
      <c r="B3199" s="1">
        <v>1227268</v>
      </c>
      <c r="C3199" s="1">
        <v>6221</v>
      </c>
      <c r="D3199" s="2">
        <v>42457</v>
      </c>
      <c r="E3199" s="1" t="s">
        <v>18</v>
      </c>
      <c r="F3199" t="str">
        <f>HYPERLINK("http://www.sec.gov/Archives/edgar/data/1227268/0001193125-16-519547-index.html")</f>
        <v>http://www.sec.gov/Archives/edgar/data/1227268/0001193125-16-519547-index.html</v>
      </c>
    </row>
    <row r="3200" spans="1:6" x14ac:dyDescent="0.2">
      <c r="A3200" t="s">
        <v>2862</v>
      </c>
      <c r="B3200" s="1">
        <v>1261159</v>
      </c>
      <c r="C3200" s="1">
        <v>6798</v>
      </c>
      <c r="D3200" s="2">
        <v>42457</v>
      </c>
      <c r="E3200" s="1" t="s">
        <v>18</v>
      </c>
      <c r="F3200" t="str">
        <f>HYPERLINK("http://www.sec.gov/Archives/edgar/data/1261159/0001193125-16-519806-index.html")</f>
        <v>http://www.sec.gov/Archives/edgar/data/1261159/0001193125-16-519806-index.html</v>
      </c>
    </row>
    <row r="3201" spans="1:6" x14ac:dyDescent="0.2">
      <c r="A3201" t="s">
        <v>2863</v>
      </c>
      <c r="B3201" s="1">
        <v>1262959</v>
      </c>
      <c r="C3201" s="1">
        <v>6798</v>
      </c>
      <c r="D3201" s="2">
        <v>42457</v>
      </c>
      <c r="E3201" s="1" t="s">
        <v>18</v>
      </c>
      <c r="F3201" t="str">
        <f>HYPERLINK("http://www.sec.gov/Archives/edgar/data/1262959/0001262959-16-000053-index.html")</f>
        <v>http://www.sec.gov/Archives/edgar/data/1262959/0001262959-16-000053-index.html</v>
      </c>
    </row>
    <row r="3202" spans="1:6" x14ac:dyDescent="0.2">
      <c r="A3202" t="s">
        <v>2864</v>
      </c>
      <c r="B3202" s="1">
        <v>1269190</v>
      </c>
      <c r="C3202" s="1">
        <v>6221</v>
      </c>
      <c r="D3202" s="2">
        <v>42457</v>
      </c>
      <c r="E3202" s="1" t="s">
        <v>18</v>
      </c>
      <c r="F3202" t="str">
        <f>HYPERLINK("http://www.sec.gov/Archives/edgar/data/1269190/0001193125-16-519551-index.html")</f>
        <v>http://www.sec.gov/Archives/edgar/data/1269190/0001193125-16-519551-index.html</v>
      </c>
    </row>
    <row r="3203" spans="1:6" x14ac:dyDescent="0.2">
      <c r="A3203" t="s">
        <v>2865</v>
      </c>
      <c r="B3203" s="1">
        <v>1283434</v>
      </c>
      <c r="C3203" s="1">
        <v>6189</v>
      </c>
      <c r="D3203" s="2">
        <v>42457</v>
      </c>
      <c r="E3203" s="1" t="s">
        <v>18</v>
      </c>
      <c r="F3203" t="str">
        <f>HYPERLINK("http://www.sec.gov/Archives/edgar/data/1283434/0001193125-16-519532-index.html")</f>
        <v>http://www.sec.gov/Archives/edgar/data/1283434/0001193125-16-519532-index.html</v>
      </c>
    </row>
    <row r="3204" spans="1:6" x14ac:dyDescent="0.2">
      <c r="A3204" t="s">
        <v>2866</v>
      </c>
      <c r="B3204" s="1">
        <v>1283435</v>
      </c>
      <c r="C3204" s="1">
        <v>6189</v>
      </c>
      <c r="D3204" s="2">
        <v>42457</v>
      </c>
      <c r="E3204" s="1" t="s">
        <v>18</v>
      </c>
      <c r="F3204" t="str">
        <f>HYPERLINK("http://www.sec.gov/Archives/edgar/data/1283435/0001193125-16-519532-index.html")</f>
        <v>http://www.sec.gov/Archives/edgar/data/1283435/0001193125-16-519532-index.html</v>
      </c>
    </row>
    <row r="3205" spans="1:6" x14ac:dyDescent="0.2">
      <c r="A3205" t="s">
        <v>2867</v>
      </c>
      <c r="B3205" s="1">
        <v>1301787</v>
      </c>
      <c r="C3205" s="1">
        <v>5031</v>
      </c>
      <c r="D3205" s="2">
        <v>42457</v>
      </c>
      <c r="E3205" s="1" t="s">
        <v>18</v>
      </c>
      <c r="F3205" t="str">
        <f>HYPERLINK("http://www.sec.gov/Archives/edgar/data/1301787/0001301787-16-000147-index.html")</f>
        <v>http://www.sec.gov/Archives/edgar/data/1301787/0001301787-16-000147-index.html</v>
      </c>
    </row>
    <row r="3206" spans="1:6" x14ac:dyDescent="0.2">
      <c r="A3206" t="s">
        <v>2868</v>
      </c>
      <c r="B3206" s="1">
        <v>1302946</v>
      </c>
      <c r="C3206" s="1">
        <v>100</v>
      </c>
      <c r="D3206" s="2">
        <v>42457</v>
      </c>
      <c r="E3206" s="1" t="s">
        <v>18</v>
      </c>
      <c r="F3206" t="str">
        <f>HYPERLINK("http://www.sec.gov/Archives/edgar/data/1302946/0001302946-16-000102-index.html")</f>
        <v>http://www.sec.gov/Archives/edgar/data/1302946/0001302946-16-000102-index.html</v>
      </c>
    </row>
    <row r="3207" spans="1:6" x14ac:dyDescent="0.2">
      <c r="A3207" t="s">
        <v>2869</v>
      </c>
      <c r="B3207" s="1">
        <v>1311241</v>
      </c>
      <c r="C3207" s="1">
        <v>3674</v>
      </c>
      <c r="D3207" s="2">
        <v>42457</v>
      </c>
      <c r="E3207" s="1" t="s">
        <v>18</v>
      </c>
      <c r="F3207" t="str">
        <f>HYPERLINK("http://www.sec.gov/Archives/edgar/data/1311241/0001558370-16-004422-index.html")</f>
        <v>http://www.sec.gov/Archives/edgar/data/1311241/0001558370-16-004422-index.html</v>
      </c>
    </row>
    <row r="3208" spans="1:6" x14ac:dyDescent="0.2">
      <c r="A3208" t="s">
        <v>2870</v>
      </c>
      <c r="B3208" s="1">
        <v>1312910</v>
      </c>
      <c r="C3208" s="1">
        <v>7359</v>
      </c>
      <c r="D3208" s="2">
        <v>42457</v>
      </c>
      <c r="E3208" s="1" t="s">
        <v>18</v>
      </c>
      <c r="F3208" t="str">
        <f>HYPERLINK("http://www.sec.gov/Archives/edgar/data/1312910/0001312910-16-000023-index.html")</f>
        <v>http://www.sec.gov/Archives/edgar/data/1312910/0001312910-16-000023-index.html</v>
      </c>
    </row>
    <row r="3209" spans="1:6" x14ac:dyDescent="0.2">
      <c r="A3209" t="s">
        <v>2871</v>
      </c>
      <c r="B3209" s="1">
        <v>1325676</v>
      </c>
      <c r="C3209" s="1">
        <v>6221</v>
      </c>
      <c r="D3209" s="2">
        <v>42457</v>
      </c>
      <c r="E3209" s="1" t="s">
        <v>18</v>
      </c>
      <c r="F3209" t="str">
        <f>HYPERLINK("http://www.sec.gov/Archives/edgar/data/1325676/0001193125-16-519573-index.html")</f>
        <v>http://www.sec.gov/Archives/edgar/data/1325676/0001193125-16-519573-index.html</v>
      </c>
    </row>
    <row r="3210" spans="1:6" x14ac:dyDescent="0.2">
      <c r="A3210" t="s">
        <v>2685</v>
      </c>
      <c r="B3210" s="1">
        <v>1326380</v>
      </c>
      <c r="C3210" s="1">
        <v>5734</v>
      </c>
      <c r="D3210" s="2">
        <v>42457</v>
      </c>
      <c r="E3210" s="1" t="s">
        <v>18</v>
      </c>
      <c r="F3210" t="str">
        <f>HYPERLINK("http://www.sec.gov/Archives/edgar/data/1326380/0001326380-16-000320-index.html")</f>
        <v>http://www.sec.gov/Archives/edgar/data/1326380/0001326380-16-000320-index.html</v>
      </c>
    </row>
    <row r="3211" spans="1:6" x14ac:dyDescent="0.2">
      <c r="A3211" t="s">
        <v>2872</v>
      </c>
      <c r="B3211" s="1">
        <v>1335105</v>
      </c>
      <c r="C3211" s="1">
        <v>2834</v>
      </c>
      <c r="D3211" s="2">
        <v>42457</v>
      </c>
      <c r="E3211" s="1" t="s">
        <v>18</v>
      </c>
      <c r="F3211" t="str">
        <f>HYPERLINK("http://www.sec.gov/Archives/edgar/data/1335105/0001493152-16-008321-index.html")</f>
        <v>http://www.sec.gov/Archives/edgar/data/1335105/0001493152-16-008321-index.html</v>
      </c>
    </row>
    <row r="3212" spans="1:6" x14ac:dyDescent="0.2">
      <c r="A3212" t="s">
        <v>2873</v>
      </c>
      <c r="B3212" s="1">
        <v>1344413</v>
      </c>
      <c r="C3212" s="1">
        <v>2834</v>
      </c>
      <c r="D3212" s="2">
        <v>42457</v>
      </c>
      <c r="E3212" s="1" t="s">
        <v>18</v>
      </c>
      <c r="F3212" t="str">
        <f>HYPERLINK("http://www.sec.gov/Archives/edgar/data/1344413/0001564590-16-015401-index.html")</f>
        <v>http://www.sec.gov/Archives/edgar/data/1344413/0001564590-16-015401-index.html</v>
      </c>
    </row>
    <row r="3213" spans="1:6" x14ac:dyDescent="0.2">
      <c r="A3213" t="s">
        <v>2874</v>
      </c>
      <c r="B3213" s="1">
        <v>1347185</v>
      </c>
      <c r="C3213" s="1">
        <v>6189</v>
      </c>
      <c r="D3213" s="2">
        <v>42457</v>
      </c>
      <c r="E3213" s="1" t="s">
        <v>18</v>
      </c>
      <c r="F3213" t="str">
        <f>HYPERLINK("http://www.sec.gov/Archives/edgar/data/1347185/0001193125-16-519316-index.html")</f>
        <v>http://www.sec.gov/Archives/edgar/data/1347185/0001193125-16-519316-index.html</v>
      </c>
    </row>
    <row r="3214" spans="1:6" x14ac:dyDescent="0.2">
      <c r="A3214" t="s">
        <v>2874</v>
      </c>
      <c r="B3214" s="1">
        <v>1347185</v>
      </c>
      <c r="C3214" s="1">
        <v>6189</v>
      </c>
      <c r="D3214" s="2">
        <v>42457</v>
      </c>
      <c r="E3214" s="1" t="s">
        <v>18</v>
      </c>
      <c r="F3214" t="str">
        <f>HYPERLINK("http://www.sec.gov/Archives/edgar/data/1347185/0001193125-16-519326-index.html")</f>
        <v>http://www.sec.gov/Archives/edgar/data/1347185/0001193125-16-519326-index.html</v>
      </c>
    </row>
    <row r="3215" spans="1:6" x14ac:dyDescent="0.2">
      <c r="A3215" t="s">
        <v>2874</v>
      </c>
      <c r="B3215" s="1">
        <v>1347185</v>
      </c>
      <c r="C3215" s="1">
        <v>6189</v>
      </c>
      <c r="D3215" s="2">
        <v>42457</v>
      </c>
      <c r="E3215" s="1" t="s">
        <v>18</v>
      </c>
      <c r="F3215" t="str">
        <f>HYPERLINK("http://www.sec.gov/Archives/edgar/data/1347185/0001193125-16-519334-index.html")</f>
        <v>http://www.sec.gov/Archives/edgar/data/1347185/0001193125-16-519334-index.html</v>
      </c>
    </row>
    <row r="3216" spans="1:6" x14ac:dyDescent="0.2">
      <c r="A3216" t="s">
        <v>2874</v>
      </c>
      <c r="B3216" s="1">
        <v>1347185</v>
      </c>
      <c r="C3216" s="1">
        <v>6189</v>
      </c>
      <c r="D3216" s="2">
        <v>42457</v>
      </c>
      <c r="E3216" s="1" t="s">
        <v>18</v>
      </c>
      <c r="F3216" t="str">
        <f>HYPERLINK("http://www.sec.gov/Archives/edgar/data/1347185/0001193125-16-519358-index.html")</f>
        <v>http://www.sec.gov/Archives/edgar/data/1347185/0001193125-16-519358-index.html</v>
      </c>
    </row>
    <row r="3217" spans="1:6" x14ac:dyDescent="0.2">
      <c r="A3217" t="s">
        <v>2874</v>
      </c>
      <c r="B3217" s="1">
        <v>1347185</v>
      </c>
      <c r="C3217" s="1">
        <v>6189</v>
      </c>
      <c r="D3217" s="2">
        <v>42457</v>
      </c>
      <c r="E3217" s="1" t="s">
        <v>18</v>
      </c>
      <c r="F3217" t="str">
        <f>HYPERLINK("http://www.sec.gov/Archives/edgar/data/1347185/0001193125-16-519362-index.html")</f>
        <v>http://www.sec.gov/Archives/edgar/data/1347185/0001193125-16-519362-index.html</v>
      </c>
    </row>
    <row r="3218" spans="1:6" x14ac:dyDescent="0.2">
      <c r="A3218" t="s">
        <v>2874</v>
      </c>
      <c r="B3218" s="1">
        <v>1347185</v>
      </c>
      <c r="C3218" s="1">
        <v>6189</v>
      </c>
      <c r="D3218" s="2">
        <v>42457</v>
      </c>
      <c r="E3218" s="1" t="s">
        <v>18</v>
      </c>
      <c r="F3218" t="str">
        <f>HYPERLINK("http://www.sec.gov/Archives/edgar/data/1347185/0001193125-16-519366-index.html")</f>
        <v>http://www.sec.gov/Archives/edgar/data/1347185/0001193125-16-519366-index.html</v>
      </c>
    </row>
    <row r="3219" spans="1:6" x14ac:dyDescent="0.2">
      <c r="A3219" t="s">
        <v>2874</v>
      </c>
      <c r="B3219" s="1">
        <v>1347185</v>
      </c>
      <c r="C3219" s="1">
        <v>6189</v>
      </c>
      <c r="D3219" s="2">
        <v>42457</v>
      </c>
      <c r="E3219" s="1" t="s">
        <v>18</v>
      </c>
      <c r="F3219" t="str">
        <f>HYPERLINK("http://www.sec.gov/Archives/edgar/data/1347185/0001193125-16-519380-index.html")</f>
        <v>http://www.sec.gov/Archives/edgar/data/1347185/0001193125-16-519380-index.html</v>
      </c>
    </row>
    <row r="3220" spans="1:6" x14ac:dyDescent="0.2">
      <c r="A3220" t="s">
        <v>2874</v>
      </c>
      <c r="B3220" s="1">
        <v>1347185</v>
      </c>
      <c r="C3220" s="1">
        <v>6189</v>
      </c>
      <c r="D3220" s="2">
        <v>42457</v>
      </c>
      <c r="E3220" s="1" t="s">
        <v>18</v>
      </c>
      <c r="F3220" t="str">
        <f>HYPERLINK("http://www.sec.gov/Archives/edgar/data/1347185/0001193125-16-519388-index.html")</f>
        <v>http://www.sec.gov/Archives/edgar/data/1347185/0001193125-16-519388-index.html</v>
      </c>
    </row>
    <row r="3221" spans="1:6" x14ac:dyDescent="0.2">
      <c r="A3221" t="s">
        <v>2874</v>
      </c>
      <c r="B3221" s="1">
        <v>1347185</v>
      </c>
      <c r="C3221" s="1">
        <v>6189</v>
      </c>
      <c r="D3221" s="2">
        <v>42457</v>
      </c>
      <c r="E3221" s="1" t="s">
        <v>18</v>
      </c>
      <c r="F3221" t="str">
        <f>HYPERLINK("http://www.sec.gov/Archives/edgar/data/1347185/0001193125-16-519392-index.html")</f>
        <v>http://www.sec.gov/Archives/edgar/data/1347185/0001193125-16-519392-index.html</v>
      </c>
    </row>
    <row r="3222" spans="1:6" x14ac:dyDescent="0.2">
      <c r="A3222" t="s">
        <v>2874</v>
      </c>
      <c r="B3222" s="1">
        <v>1347185</v>
      </c>
      <c r="C3222" s="1">
        <v>6189</v>
      </c>
      <c r="D3222" s="2">
        <v>42457</v>
      </c>
      <c r="E3222" s="1" t="s">
        <v>18</v>
      </c>
      <c r="F3222" t="str">
        <f>HYPERLINK("http://www.sec.gov/Archives/edgar/data/1347185/0001193125-16-519399-index.html")</f>
        <v>http://www.sec.gov/Archives/edgar/data/1347185/0001193125-16-519399-index.html</v>
      </c>
    </row>
    <row r="3223" spans="1:6" x14ac:dyDescent="0.2">
      <c r="A3223" t="s">
        <v>2874</v>
      </c>
      <c r="B3223" s="1">
        <v>1347185</v>
      </c>
      <c r="C3223" s="1">
        <v>6189</v>
      </c>
      <c r="D3223" s="2">
        <v>42457</v>
      </c>
      <c r="E3223" s="1" t="s">
        <v>18</v>
      </c>
      <c r="F3223" t="str">
        <f>HYPERLINK("http://www.sec.gov/Archives/edgar/data/1347185/0001193125-16-519403-index.html")</f>
        <v>http://www.sec.gov/Archives/edgar/data/1347185/0001193125-16-519403-index.html</v>
      </c>
    </row>
    <row r="3224" spans="1:6" x14ac:dyDescent="0.2">
      <c r="A3224" t="s">
        <v>2874</v>
      </c>
      <c r="B3224" s="1">
        <v>1347185</v>
      </c>
      <c r="C3224" s="1">
        <v>6189</v>
      </c>
      <c r="D3224" s="2">
        <v>42457</v>
      </c>
      <c r="E3224" s="1" t="s">
        <v>18</v>
      </c>
      <c r="F3224" t="str">
        <f>HYPERLINK("http://www.sec.gov/Archives/edgar/data/1347185/0001193125-16-519414-index.html")</f>
        <v>http://www.sec.gov/Archives/edgar/data/1347185/0001193125-16-519414-index.html</v>
      </c>
    </row>
    <row r="3225" spans="1:6" x14ac:dyDescent="0.2">
      <c r="A3225" t="s">
        <v>2874</v>
      </c>
      <c r="B3225" s="1">
        <v>1347185</v>
      </c>
      <c r="C3225" s="1">
        <v>6189</v>
      </c>
      <c r="D3225" s="2">
        <v>42457</v>
      </c>
      <c r="E3225" s="1" t="s">
        <v>18</v>
      </c>
      <c r="F3225" t="str">
        <f>HYPERLINK("http://www.sec.gov/Archives/edgar/data/1347185/0001193125-16-519415-index.html")</f>
        <v>http://www.sec.gov/Archives/edgar/data/1347185/0001193125-16-519415-index.html</v>
      </c>
    </row>
    <row r="3226" spans="1:6" x14ac:dyDescent="0.2">
      <c r="A3226" t="s">
        <v>2874</v>
      </c>
      <c r="B3226" s="1">
        <v>1347185</v>
      </c>
      <c r="C3226" s="1">
        <v>6189</v>
      </c>
      <c r="D3226" s="2">
        <v>42457</v>
      </c>
      <c r="E3226" s="1" t="s">
        <v>18</v>
      </c>
      <c r="F3226" t="str">
        <f>HYPERLINK("http://www.sec.gov/Archives/edgar/data/1347185/0001193125-16-519424-index.html")</f>
        <v>http://www.sec.gov/Archives/edgar/data/1347185/0001193125-16-519424-index.html</v>
      </c>
    </row>
    <row r="3227" spans="1:6" x14ac:dyDescent="0.2">
      <c r="A3227" t="s">
        <v>2874</v>
      </c>
      <c r="B3227" s="1">
        <v>1347185</v>
      </c>
      <c r="C3227" s="1">
        <v>6189</v>
      </c>
      <c r="D3227" s="2">
        <v>42457</v>
      </c>
      <c r="E3227" s="1" t="s">
        <v>18</v>
      </c>
      <c r="F3227" t="str">
        <f>HYPERLINK("http://www.sec.gov/Archives/edgar/data/1347185/0001193125-16-519431-index.html")</f>
        <v>http://www.sec.gov/Archives/edgar/data/1347185/0001193125-16-519431-index.html</v>
      </c>
    </row>
    <row r="3228" spans="1:6" x14ac:dyDescent="0.2">
      <c r="A3228" t="s">
        <v>2874</v>
      </c>
      <c r="B3228" s="1">
        <v>1347185</v>
      </c>
      <c r="C3228" s="1">
        <v>6189</v>
      </c>
      <c r="D3228" s="2">
        <v>42457</v>
      </c>
      <c r="E3228" s="1" t="s">
        <v>18</v>
      </c>
      <c r="F3228" t="str">
        <f>HYPERLINK("http://www.sec.gov/Archives/edgar/data/1347185/0001193125-16-519438-index.html")</f>
        <v>http://www.sec.gov/Archives/edgar/data/1347185/0001193125-16-519438-index.html</v>
      </c>
    </row>
    <row r="3229" spans="1:6" x14ac:dyDescent="0.2">
      <c r="A3229" t="s">
        <v>2874</v>
      </c>
      <c r="B3229" s="1">
        <v>1347185</v>
      </c>
      <c r="C3229" s="1">
        <v>6189</v>
      </c>
      <c r="D3229" s="2">
        <v>42457</v>
      </c>
      <c r="E3229" s="1" t="s">
        <v>18</v>
      </c>
      <c r="F3229" t="str">
        <f>HYPERLINK("http://www.sec.gov/Archives/edgar/data/1347185/0001193125-16-519445-index.html")</f>
        <v>http://www.sec.gov/Archives/edgar/data/1347185/0001193125-16-519445-index.html</v>
      </c>
    </row>
    <row r="3230" spans="1:6" x14ac:dyDescent="0.2">
      <c r="A3230" t="s">
        <v>2874</v>
      </c>
      <c r="B3230" s="1">
        <v>1347185</v>
      </c>
      <c r="C3230" s="1">
        <v>6189</v>
      </c>
      <c r="D3230" s="2">
        <v>42457</v>
      </c>
      <c r="E3230" s="1" t="s">
        <v>18</v>
      </c>
      <c r="F3230" t="str">
        <f>HYPERLINK("http://www.sec.gov/Archives/edgar/data/1347185/0001193125-16-519454-index.html")</f>
        <v>http://www.sec.gov/Archives/edgar/data/1347185/0001193125-16-519454-index.html</v>
      </c>
    </row>
    <row r="3231" spans="1:6" x14ac:dyDescent="0.2">
      <c r="A3231" t="s">
        <v>2874</v>
      </c>
      <c r="B3231" s="1">
        <v>1347185</v>
      </c>
      <c r="C3231" s="1">
        <v>6189</v>
      </c>
      <c r="D3231" s="2">
        <v>42457</v>
      </c>
      <c r="E3231" s="1" t="s">
        <v>18</v>
      </c>
      <c r="F3231" t="str">
        <f>HYPERLINK("http://www.sec.gov/Archives/edgar/data/1347185/0001193125-16-519457-index.html")</f>
        <v>http://www.sec.gov/Archives/edgar/data/1347185/0001193125-16-519457-index.html</v>
      </c>
    </row>
    <row r="3232" spans="1:6" x14ac:dyDescent="0.2">
      <c r="A3232" t="s">
        <v>2875</v>
      </c>
      <c r="B3232" s="1">
        <v>1369628</v>
      </c>
      <c r="C3232" s="1">
        <v>6221</v>
      </c>
      <c r="D3232" s="2">
        <v>42457</v>
      </c>
      <c r="E3232" s="1" t="s">
        <v>18</v>
      </c>
      <c r="F3232" t="str">
        <f>HYPERLINK("http://www.sec.gov/Archives/edgar/data/1369628/0001193125-16-519677-index.html")</f>
        <v>http://www.sec.gov/Archives/edgar/data/1369628/0001193125-16-519677-index.html</v>
      </c>
    </row>
    <row r="3233" spans="1:6" x14ac:dyDescent="0.2">
      <c r="A3233" t="s">
        <v>2876</v>
      </c>
      <c r="B3233" s="1">
        <v>1371217</v>
      </c>
      <c r="C3233" s="1">
        <v>3845</v>
      </c>
      <c r="D3233" s="2">
        <v>42457</v>
      </c>
      <c r="E3233" s="1" t="s">
        <v>18</v>
      </c>
      <c r="F3233" t="str">
        <f>HYPERLINK("http://www.sec.gov/Archives/edgar/data/1371217/0001193125-16-519841-index.html")</f>
        <v>http://www.sec.gov/Archives/edgar/data/1371217/0001193125-16-519841-index.html</v>
      </c>
    </row>
    <row r="3234" spans="1:6" x14ac:dyDescent="0.2">
      <c r="A3234" t="s">
        <v>2877</v>
      </c>
      <c r="B3234" s="1">
        <v>1378774</v>
      </c>
      <c r="C3234" s="1">
        <v>6798</v>
      </c>
      <c r="D3234" s="2">
        <v>42457</v>
      </c>
      <c r="E3234" s="1" t="s">
        <v>18</v>
      </c>
      <c r="F3234" t="str">
        <f>HYPERLINK("http://www.sec.gov/Archives/edgar/data/1378774/0001144204-16-090645-index.html")</f>
        <v>http://www.sec.gov/Archives/edgar/data/1378774/0001144204-16-090645-index.html</v>
      </c>
    </row>
    <row r="3235" spans="1:6" x14ac:dyDescent="0.2">
      <c r="A3235" t="s">
        <v>2878</v>
      </c>
      <c r="B3235" s="1">
        <v>1382574</v>
      </c>
      <c r="C3235" s="1">
        <v>5122</v>
      </c>
      <c r="D3235" s="2">
        <v>42457</v>
      </c>
      <c r="E3235" s="1" t="s">
        <v>18</v>
      </c>
      <c r="F3235" t="str">
        <f>HYPERLINK("http://www.sec.gov/Archives/edgar/data/1382574/0001078782-16-002504-index.html")</f>
        <v>http://www.sec.gov/Archives/edgar/data/1382574/0001078782-16-002504-index.html</v>
      </c>
    </row>
    <row r="3236" spans="1:6" x14ac:dyDescent="0.2">
      <c r="A3236" t="s">
        <v>2692</v>
      </c>
      <c r="B3236" s="1">
        <v>1385310</v>
      </c>
      <c r="C3236" s="1">
        <v>3564</v>
      </c>
      <c r="D3236" s="2">
        <v>42457</v>
      </c>
      <c r="E3236" s="1" t="s">
        <v>18</v>
      </c>
      <c r="F3236" t="str">
        <f>HYPERLINK("http://www.sec.gov/Archives/edgar/data/1385310/0001549212-16-000039-index.html")</f>
        <v>http://www.sec.gov/Archives/edgar/data/1385310/0001549212-16-000039-index.html</v>
      </c>
    </row>
    <row r="3237" spans="1:6" x14ac:dyDescent="0.2">
      <c r="A3237" t="s">
        <v>2879</v>
      </c>
      <c r="B3237" s="1">
        <v>1386164</v>
      </c>
      <c r="C3237" s="1">
        <v>6221</v>
      </c>
      <c r="D3237" s="2">
        <v>42457</v>
      </c>
      <c r="E3237" s="1" t="s">
        <v>18</v>
      </c>
      <c r="F3237" t="str">
        <f>HYPERLINK("http://www.sec.gov/Archives/edgar/data/1386164/0001193125-16-519711-index.html")</f>
        <v>http://www.sec.gov/Archives/edgar/data/1386164/0001193125-16-519711-index.html</v>
      </c>
    </row>
    <row r="3238" spans="1:6" x14ac:dyDescent="0.2">
      <c r="A3238" t="s">
        <v>2880</v>
      </c>
      <c r="B3238" s="1">
        <v>1391135</v>
      </c>
      <c r="C3238" s="1">
        <v>7372</v>
      </c>
      <c r="D3238" s="2">
        <v>42457</v>
      </c>
      <c r="E3238" s="1" t="s">
        <v>18</v>
      </c>
      <c r="F3238" t="str">
        <f>HYPERLINK("http://www.sec.gov/Archives/edgar/data/1391135/0001445866-16-001766-index.html")</f>
        <v>http://www.sec.gov/Archives/edgar/data/1391135/0001445866-16-001766-index.html</v>
      </c>
    </row>
    <row r="3239" spans="1:6" x14ac:dyDescent="0.2">
      <c r="A3239" t="s">
        <v>2881</v>
      </c>
      <c r="B3239" s="1">
        <v>1398702</v>
      </c>
      <c r="C3239" s="1">
        <v>2111</v>
      </c>
      <c r="D3239" s="2">
        <v>42457</v>
      </c>
      <c r="E3239" s="1" t="s">
        <v>18</v>
      </c>
      <c r="F3239" t="str">
        <f>HYPERLINK("http://www.sec.gov/Archives/edgar/data/1398702/0001615774-16-004658-index.html")</f>
        <v>http://www.sec.gov/Archives/edgar/data/1398702/0001615774-16-004658-index.html</v>
      </c>
    </row>
    <row r="3240" spans="1:6" x14ac:dyDescent="0.2">
      <c r="A3240" t="s">
        <v>2882</v>
      </c>
      <c r="B3240" s="1">
        <v>1408534</v>
      </c>
      <c r="C3240" s="1">
        <v>6035</v>
      </c>
      <c r="D3240" s="2">
        <v>42457</v>
      </c>
      <c r="E3240" s="1" t="s">
        <v>18</v>
      </c>
      <c r="F3240" t="str">
        <f>HYPERLINK("http://www.sec.gov/Archives/edgar/data/1408534/0001408534-16-000053-index.html")</f>
        <v>http://www.sec.gov/Archives/edgar/data/1408534/0001408534-16-000053-index.html</v>
      </c>
    </row>
    <row r="3241" spans="1:6" x14ac:dyDescent="0.2">
      <c r="A3241" t="s">
        <v>2883</v>
      </c>
      <c r="B3241" s="1">
        <v>1411036</v>
      </c>
      <c r="C3241" s="1">
        <v>2860</v>
      </c>
      <c r="D3241" s="2">
        <v>42457</v>
      </c>
      <c r="E3241" s="1" t="s">
        <v>18</v>
      </c>
      <c r="F3241" t="str">
        <f>HYPERLINK("http://www.sec.gov/Archives/edgar/data/1411036/0001354488-16-006725-index.html")</f>
        <v>http://www.sec.gov/Archives/edgar/data/1411036/0001354488-16-006725-index.html</v>
      </c>
    </row>
    <row r="3242" spans="1:6" x14ac:dyDescent="0.2">
      <c r="A3242" t="s">
        <v>2884</v>
      </c>
      <c r="B3242" s="1">
        <v>1426506</v>
      </c>
      <c r="C3242" s="1">
        <v>6221</v>
      </c>
      <c r="D3242" s="2">
        <v>42457</v>
      </c>
      <c r="E3242" s="1" t="s">
        <v>18</v>
      </c>
      <c r="F3242" t="str">
        <f>HYPERLINK("http://www.sec.gov/Archives/edgar/data/1426506/0001144204-16-090610-index.html")</f>
        <v>http://www.sec.gov/Archives/edgar/data/1426506/0001144204-16-090610-index.html</v>
      </c>
    </row>
    <row r="3243" spans="1:6" x14ac:dyDescent="0.2">
      <c r="A3243" t="s">
        <v>2885</v>
      </c>
      <c r="B3243" s="1">
        <v>1428042</v>
      </c>
      <c r="C3243" s="1">
        <v>6221</v>
      </c>
      <c r="D3243" s="2">
        <v>42457</v>
      </c>
      <c r="E3243" s="1" t="s">
        <v>18</v>
      </c>
      <c r="F3243" t="str">
        <f>HYPERLINK("http://www.sec.gov/Archives/edgar/data/1428042/0001193125-16-519537-index.html")</f>
        <v>http://www.sec.gov/Archives/edgar/data/1428042/0001193125-16-519537-index.html</v>
      </c>
    </row>
    <row r="3244" spans="1:6" x14ac:dyDescent="0.2">
      <c r="A3244" t="s">
        <v>2886</v>
      </c>
      <c r="B3244" s="1">
        <v>1428043</v>
      </c>
      <c r="C3244" s="1">
        <v>6221</v>
      </c>
      <c r="D3244" s="2">
        <v>42457</v>
      </c>
      <c r="E3244" s="1" t="s">
        <v>18</v>
      </c>
      <c r="F3244" t="str">
        <f>HYPERLINK("http://www.sec.gov/Archives/edgar/data/1428043/0001193125-16-519544-index.html")</f>
        <v>http://www.sec.gov/Archives/edgar/data/1428043/0001193125-16-519544-index.html</v>
      </c>
    </row>
    <row r="3245" spans="1:6" x14ac:dyDescent="0.2">
      <c r="A3245" t="s">
        <v>2887</v>
      </c>
      <c r="B3245" s="1">
        <v>1433607</v>
      </c>
      <c r="C3245" s="1">
        <v>3841</v>
      </c>
      <c r="D3245" s="2">
        <v>42457</v>
      </c>
      <c r="E3245" s="1" t="s">
        <v>18</v>
      </c>
      <c r="F3245" t="str">
        <f>HYPERLINK("http://www.sec.gov/Archives/edgar/data/1433607/0001615774-16-004660-index.html")</f>
        <v>http://www.sec.gov/Archives/edgar/data/1433607/0001615774-16-004660-index.html</v>
      </c>
    </row>
    <row r="3246" spans="1:6" x14ac:dyDescent="0.2">
      <c r="A3246" t="s">
        <v>2888</v>
      </c>
      <c r="B3246" s="1">
        <v>1437479</v>
      </c>
      <c r="C3246" s="1">
        <v>6021</v>
      </c>
      <c r="D3246" s="2">
        <v>42457</v>
      </c>
      <c r="E3246" s="1" t="s">
        <v>18</v>
      </c>
      <c r="F3246" t="str">
        <f>HYPERLINK("http://www.sec.gov/Archives/edgar/data/1437479/0001174947-16-002339-index.html")</f>
        <v>http://www.sec.gov/Archives/edgar/data/1437479/0001174947-16-002339-index.html</v>
      </c>
    </row>
    <row r="3247" spans="1:6" x14ac:dyDescent="0.2">
      <c r="A3247" t="s">
        <v>2889</v>
      </c>
      <c r="B3247" s="1">
        <v>1438672</v>
      </c>
      <c r="C3247" s="1">
        <v>7500</v>
      </c>
      <c r="D3247" s="2">
        <v>42457</v>
      </c>
      <c r="E3247" s="1" t="s">
        <v>18</v>
      </c>
      <c r="F3247" t="str">
        <f>HYPERLINK("http://www.sec.gov/Archives/edgar/data/1438672/0001078782-16-002496-index.html")</f>
        <v>http://www.sec.gov/Archives/edgar/data/1438672/0001078782-16-002496-index.html</v>
      </c>
    </row>
    <row r="3248" spans="1:6" x14ac:dyDescent="0.2">
      <c r="A3248" t="s">
        <v>2890</v>
      </c>
      <c r="B3248" s="1">
        <v>1452936</v>
      </c>
      <c r="C3248" s="1">
        <v>6798</v>
      </c>
      <c r="D3248" s="2">
        <v>42457</v>
      </c>
      <c r="E3248" s="1" t="s">
        <v>18</v>
      </c>
      <c r="F3248" t="str">
        <f>HYPERLINK("http://www.sec.gov/Archives/edgar/data/1452936/0001452936-16-000063-index.html")</f>
        <v>http://www.sec.gov/Archives/edgar/data/1452936/0001452936-16-000063-index.html</v>
      </c>
    </row>
    <row r="3249" spans="1:6" x14ac:dyDescent="0.2">
      <c r="A3249" t="s">
        <v>2891</v>
      </c>
      <c r="B3249" s="1">
        <v>1453818</v>
      </c>
      <c r="C3249" s="1">
        <v>6798</v>
      </c>
      <c r="D3249" s="2">
        <v>42457</v>
      </c>
      <c r="E3249" s="1" t="s">
        <v>18</v>
      </c>
      <c r="F3249" t="str">
        <f>HYPERLINK("http://www.sec.gov/Archives/edgar/data/1453818/0001453818-16-000052-index.html")</f>
        <v>http://www.sec.gov/Archives/edgar/data/1453818/0001453818-16-000052-index.html</v>
      </c>
    </row>
    <row r="3250" spans="1:6" x14ac:dyDescent="0.2">
      <c r="A3250" t="s">
        <v>2892</v>
      </c>
      <c r="B3250" s="1">
        <v>1464790</v>
      </c>
      <c r="C3250" s="1">
        <v>7389</v>
      </c>
      <c r="D3250" s="2">
        <v>42457</v>
      </c>
      <c r="E3250" s="1" t="s">
        <v>18</v>
      </c>
      <c r="F3250" t="str">
        <f>HYPERLINK("http://www.sec.gov/Archives/edgar/data/1464790/0001615774-16-004657-index.html")</f>
        <v>http://www.sec.gov/Archives/edgar/data/1464790/0001615774-16-004657-index.html</v>
      </c>
    </row>
    <row r="3251" spans="1:6" x14ac:dyDescent="0.2">
      <c r="A3251" t="s">
        <v>2893</v>
      </c>
      <c r="B3251" s="1">
        <v>1473334</v>
      </c>
      <c r="C3251" s="1">
        <v>2510</v>
      </c>
      <c r="D3251" s="2">
        <v>42457</v>
      </c>
      <c r="E3251" s="1" t="s">
        <v>18</v>
      </c>
      <c r="F3251" t="str">
        <f>HYPERLINK("http://www.sec.gov/Archives/edgar/data/1473334/0001185185-16-004004-index.html")</f>
        <v>http://www.sec.gov/Archives/edgar/data/1473334/0001185185-16-004004-index.html</v>
      </c>
    </row>
    <row r="3252" spans="1:6" x14ac:dyDescent="0.2">
      <c r="A3252" t="s">
        <v>2894</v>
      </c>
      <c r="B3252" s="1">
        <v>1482974</v>
      </c>
      <c r="C3252" s="1">
        <v>6798</v>
      </c>
      <c r="D3252" s="2">
        <v>42457</v>
      </c>
      <c r="E3252" s="1" t="s">
        <v>18</v>
      </c>
      <c r="F3252" t="str">
        <f>HYPERLINK("http://www.sec.gov/Archives/edgar/data/1482974/0001193125-16-519668-index.html")</f>
        <v>http://www.sec.gov/Archives/edgar/data/1482974/0001193125-16-519668-index.html</v>
      </c>
    </row>
    <row r="3253" spans="1:6" x14ac:dyDescent="0.2">
      <c r="A3253" t="s">
        <v>2895</v>
      </c>
      <c r="B3253" s="1">
        <v>1503707</v>
      </c>
      <c r="C3253" s="1">
        <v>6798</v>
      </c>
      <c r="D3253" s="2">
        <v>42457</v>
      </c>
      <c r="E3253" s="1" t="s">
        <v>18</v>
      </c>
      <c r="F3253" t="str">
        <f>HYPERLINK("http://www.sec.gov/Archives/edgar/data/1503707/0001503707-16-000113-index.html")</f>
        <v>http://www.sec.gov/Archives/edgar/data/1503707/0001503707-16-000113-index.html</v>
      </c>
    </row>
    <row r="3254" spans="1:6" x14ac:dyDescent="0.2">
      <c r="A3254" t="s">
        <v>2896</v>
      </c>
      <c r="B3254" s="1">
        <v>1504886</v>
      </c>
      <c r="C3254" s="1">
        <v>6221</v>
      </c>
      <c r="D3254" s="2">
        <v>42457</v>
      </c>
      <c r="E3254" s="1" t="s">
        <v>18</v>
      </c>
      <c r="F3254" t="str">
        <f>HYPERLINK("http://www.sec.gov/Archives/edgar/data/1504886/0001193125-16-519752-index.html")</f>
        <v>http://www.sec.gov/Archives/edgar/data/1504886/0001193125-16-519752-index.html</v>
      </c>
    </row>
    <row r="3255" spans="1:6" x14ac:dyDescent="0.2">
      <c r="A3255" t="s">
        <v>2897</v>
      </c>
      <c r="B3255" s="1">
        <v>1527705</v>
      </c>
      <c r="C3255" s="1">
        <v>7011</v>
      </c>
      <c r="D3255" s="2">
        <v>42457</v>
      </c>
      <c r="E3255" s="1" t="s">
        <v>18</v>
      </c>
      <c r="F3255" t="str">
        <f>HYPERLINK("http://www.sec.gov/Archives/edgar/data/1527705/0001437749-16-028480-index.html")</f>
        <v>http://www.sec.gov/Archives/edgar/data/1527705/0001437749-16-028480-index.html</v>
      </c>
    </row>
    <row r="3256" spans="1:6" x14ac:dyDescent="0.2">
      <c r="A3256" t="s">
        <v>2898</v>
      </c>
      <c r="B3256" s="1">
        <v>1529133</v>
      </c>
      <c r="C3256" s="1">
        <v>7372</v>
      </c>
      <c r="D3256" s="2">
        <v>42457</v>
      </c>
      <c r="E3256" s="1" t="s">
        <v>18</v>
      </c>
      <c r="F3256" t="str">
        <f>HYPERLINK("http://www.sec.gov/Archives/edgar/data/1529133/0001493152-16-008295-index.html")</f>
        <v>http://www.sec.gov/Archives/edgar/data/1529133/0001493152-16-008295-index.html</v>
      </c>
    </row>
    <row r="3257" spans="1:6" x14ac:dyDescent="0.2">
      <c r="A3257" t="s">
        <v>2899</v>
      </c>
      <c r="B3257" s="1">
        <v>1533218</v>
      </c>
      <c r="C3257" s="1">
        <v>6189</v>
      </c>
      <c r="D3257" s="2">
        <v>42457</v>
      </c>
      <c r="E3257" s="1" t="s">
        <v>18</v>
      </c>
      <c r="F3257" t="str">
        <f>HYPERLINK("http://www.sec.gov/Archives/edgar/data/1533218/0001193125-16-519316-index.html")</f>
        <v>http://www.sec.gov/Archives/edgar/data/1533218/0001193125-16-519316-index.html</v>
      </c>
    </row>
    <row r="3258" spans="1:6" x14ac:dyDescent="0.2">
      <c r="A3258" t="s">
        <v>2900</v>
      </c>
      <c r="B3258" s="1">
        <v>1540779</v>
      </c>
      <c r="C3258" s="1">
        <v>6189</v>
      </c>
      <c r="D3258" s="2">
        <v>42457</v>
      </c>
      <c r="E3258" s="1" t="s">
        <v>18</v>
      </c>
      <c r="F3258" t="str">
        <f>HYPERLINK("http://www.sec.gov/Archives/edgar/data/1540779/0001193125-16-519380-index.html")</f>
        <v>http://www.sec.gov/Archives/edgar/data/1540779/0001193125-16-519380-index.html</v>
      </c>
    </row>
    <row r="3259" spans="1:6" x14ac:dyDescent="0.2">
      <c r="A3259" t="s">
        <v>2901</v>
      </c>
      <c r="B3259" s="1">
        <v>1546680</v>
      </c>
      <c r="C3259" s="1">
        <v>6189</v>
      </c>
      <c r="D3259" s="2">
        <v>42457</v>
      </c>
      <c r="E3259" s="1" t="s">
        <v>18</v>
      </c>
      <c r="F3259" t="str">
        <f>HYPERLINK("http://www.sec.gov/Archives/edgar/data/1546680/0001193125-16-519454-index.html")</f>
        <v>http://www.sec.gov/Archives/edgar/data/1546680/0001193125-16-519454-index.html</v>
      </c>
    </row>
    <row r="3260" spans="1:6" x14ac:dyDescent="0.2">
      <c r="A3260" t="s">
        <v>2902</v>
      </c>
      <c r="B3260" s="1">
        <v>1552221</v>
      </c>
      <c r="C3260" s="1">
        <v>6189</v>
      </c>
      <c r="D3260" s="2">
        <v>42457</v>
      </c>
      <c r="E3260" s="1" t="s">
        <v>18</v>
      </c>
      <c r="F3260" t="str">
        <f>HYPERLINK("http://www.sec.gov/Archives/edgar/data/1552221/0001193125-16-519326-index.html")</f>
        <v>http://www.sec.gov/Archives/edgar/data/1552221/0001193125-16-519326-index.html</v>
      </c>
    </row>
    <row r="3261" spans="1:6" x14ac:dyDescent="0.2">
      <c r="A3261" t="s">
        <v>2903</v>
      </c>
      <c r="B3261" s="1">
        <v>1557356</v>
      </c>
      <c r="C3261" s="1">
        <v>6189</v>
      </c>
      <c r="D3261" s="2">
        <v>42457</v>
      </c>
      <c r="E3261" s="1" t="s">
        <v>18</v>
      </c>
      <c r="F3261" t="str">
        <f>HYPERLINK("http://www.sec.gov/Archives/edgar/data/1557356/0001193125-16-519334-index.html")</f>
        <v>http://www.sec.gov/Archives/edgar/data/1557356/0001193125-16-519334-index.html</v>
      </c>
    </row>
    <row r="3262" spans="1:6" x14ac:dyDescent="0.2">
      <c r="A3262" t="s">
        <v>2904</v>
      </c>
      <c r="B3262" s="1">
        <v>1561880</v>
      </c>
      <c r="C3262" s="1">
        <v>8200</v>
      </c>
      <c r="D3262" s="2">
        <v>42457</v>
      </c>
      <c r="E3262" s="1" t="s">
        <v>18</v>
      </c>
      <c r="F3262" t="str">
        <f>HYPERLINK("http://www.sec.gov/Archives/edgar/data/1561880/0001213900-16-011896-index.html")</f>
        <v>http://www.sec.gov/Archives/edgar/data/1561880/0001213900-16-011896-index.html</v>
      </c>
    </row>
    <row r="3263" spans="1:6" x14ac:dyDescent="0.2">
      <c r="A3263" t="s">
        <v>2905</v>
      </c>
      <c r="B3263" s="1">
        <v>1561939</v>
      </c>
      <c r="C3263" s="1">
        <v>6189</v>
      </c>
      <c r="D3263" s="2">
        <v>42457</v>
      </c>
      <c r="E3263" s="1" t="s">
        <v>18</v>
      </c>
      <c r="F3263" t="str">
        <f>HYPERLINK("http://www.sec.gov/Archives/edgar/data/1561939/0001193125-16-519362-index.html")</f>
        <v>http://www.sec.gov/Archives/edgar/data/1561939/0001193125-16-519362-index.html</v>
      </c>
    </row>
    <row r="3264" spans="1:6" x14ac:dyDescent="0.2">
      <c r="A3264" t="s">
        <v>2906</v>
      </c>
      <c r="B3264" s="1">
        <v>1562914</v>
      </c>
      <c r="C3264" s="1">
        <v>6189</v>
      </c>
      <c r="D3264" s="2">
        <v>42457</v>
      </c>
      <c r="E3264" s="1" t="s">
        <v>18</v>
      </c>
      <c r="F3264" t="str">
        <f>HYPERLINK("http://www.sec.gov/Archives/edgar/data/1562914/0001193125-16-519543-index.html")</f>
        <v>http://www.sec.gov/Archives/edgar/data/1562914/0001193125-16-519543-index.html</v>
      </c>
    </row>
    <row r="3265" spans="1:6" x14ac:dyDescent="0.2">
      <c r="A3265" t="s">
        <v>2907</v>
      </c>
      <c r="B3265" s="1">
        <v>1562918</v>
      </c>
      <c r="C3265" s="1">
        <v>6189</v>
      </c>
      <c r="D3265" s="2">
        <v>42457</v>
      </c>
      <c r="E3265" s="1" t="s">
        <v>18</v>
      </c>
      <c r="F3265" t="str">
        <f>HYPERLINK("http://www.sec.gov/Archives/edgar/data/1562918/0001193125-16-519543-index.html")</f>
        <v>http://www.sec.gov/Archives/edgar/data/1562918/0001193125-16-519543-index.html</v>
      </c>
    </row>
    <row r="3266" spans="1:6" x14ac:dyDescent="0.2">
      <c r="A3266" t="s">
        <v>2908</v>
      </c>
      <c r="B3266" s="1">
        <v>1566972</v>
      </c>
      <c r="C3266" s="1">
        <v>6189</v>
      </c>
      <c r="D3266" s="2">
        <v>42457</v>
      </c>
      <c r="E3266" s="1" t="s">
        <v>18</v>
      </c>
      <c r="F3266" t="str">
        <f>HYPERLINK("http://www.sec.gov/Archives/edgar/data/1566972/0001193125-16-519414-index.html")</f>
        <v>http://www.sec.gov/Archives/edgar/data/1566972/0001193125-16-519414-index.html</v>
      </c>
    </row>
    <row r="3267" spans="1:6" x14ac:dyDescent="0.2">
      <c r="A3267" t="s">
        <v>2909</v>
      </c>
      <c r="B3267" s="1">
        <v>1567925</v>
      </c>
      <c r="C3267" s="1">
        <v>6798</v>
      </c>
      <c r="D3267" s="2">
        <v>42457</v>
      </c>
      <c r="E3267" s="1" t="s">
        <v>18</v>
      </c>
      <c r="F3267" t="str">
        <f>HYPERLINK("http://www.sec.gov/Archives/edgar/data/1567925/0001193125-16-519661-index.html")</f>
        <v>http://www.sec.gov/Archives/edgar/data/1567925/0001193125-16-519661-index.html</v>
      </c>
    </row>
    <row r="3268" spans="1:6" x14ac:dyDescent="0.2">
      <c r="A3268" t="s">
        <v>2910</v>
      </c>
      <c r="B3268" s="1">
        <v>1573292</v>
      </c>
      <c r="C3268" s="1">
        <v>6189</v>
      </c>
      <c r="D3268" s="2">
        <v>42457</v>
      </c>
      <c r="E3268" s="1" t="s">
        <v>18</v>
      </c>
      <c r="F3268" t="str">
        <f>HYPERLINK("http://www.sec.gov/Archives/edgar/data/1573292/0001193125-16-519358-index.html")</f>
        <v>http://www.sec.gov/Archives/edgar/data/1573292/0001193125-16-519358-index.html</v>
      </c>
    </row>
    <row r="3269" spans="1:6" x14ac:dyDescent="0.2">
      <c r="A3269" t="s">
        <v>2911</v>
      </c>
      <c r="B3269" s="1">
        <v>1575189</v>
      </c>
      <c r="C3269" s="1">
        <v>7370</v>
      </c>
      <c r="D3269" s="2">
        <v>42457</v>
      </c>
      <c r="E3269" s="1" t="s">
        <v>18</v>
      </c>
      <c r="F3269" t="str">
        <f>HYPERLINK("http://www.sec.gov/Archives/edgar/data/1575189/0001575189-16-000006-index.html")</f>
        <v>http://www.sec.gov/Archives/edgar/data/1575189/0001575189-16-000006-index.html</v>
      </c>
    </row>
    <row r="3270" spans="1:6" x14ac:dyDescent="0.2">
      <c r="A3270" t="s">
        <v>2912</v>
      </c>
      <c r="B3270" s="1">
        <v>1575311</v>
      </c>
      <c r="C3270" s="1">
        <v>6798</v>
      </c>
      <c r="D3270" s="2">
        <v>42457</v>
      </c>
      <c r="E3270" s="1" t="s">
        <v>18</v>
      </c>
      <c r="F3270" t="str">
        <f>HYPERLINK("http://www.sec.gov/Archives/edgar/data/1575311/0001575311-16-000012-index.html")</f>
        <v>http://www.sec.gov/Archives/edgar/data/1575311/0001575311-16-000012-index.html</v>
      </c>
    </row>
    <row r="3271" spans="1:6" x14ac:dyDescent="0.2">
      <c r="A3271" t="s">
        <v>2913</v>
      </c>
      <c r="B3271" s="1">
        <v>1578422</v>
      </c>
      <c r="C3271" s="1">
        <v>6189</v>
      </c>
      <c r="D3271" s="2">
        <v>42457</v>
      </c>
      <c r="E3271" s="1" t="s">
        <v>18</v>
      </c>
      <c r="F3271" t="str">
        <f>HYPERLINK("http://www.sec.gov/Archives/edgar/data/1578422/0001539497-16-002680-index.html")</f>
        <v>http://www.sec.gov/Archives/edgar/data/1578422/0001539497-16-002680-index.html</v>
      </c>
    </row>
    <row r="3272" spans="1:6" x14ac:dyDescent="0.2">
      <c r="A3272" t="s">
        <v>2914</v>
      </c>
      <c r="B3272" s="1">
        <v>1578821</v>
      </c>
      <c r="C3272" s="1">
        <v>6189</v>
      </c>
      <c r="D3272" s="2">
        <v>42457</v>
      </c>
      <c r="E3272" s="1" t="s">
        <v>18</v>
      </c>
      <c r="F3272" t="str">
        <f>HYPERLINK("http://www.sec.gov/Archives/edgar/data/1578821/0001193125-16-519431-index.html")</f>
        <v>http://www.sec.gov/Archives/edgar/data/1578821/0001193125-16-519431-index.html</v>
      </c>
    </row>
    <row r="3273" spans="1:6" x14ac:dyDescent="0.2">
      <c r="A3273" t="s">
        <v>2915</v>
      </c>
      <c r="B3273" s="1">
        <v>1581552</v>
      </c>
      <c r="C3273" s="1">
        <v>1311</v>
      </c>
      <c r="D3273" s="2">
        <v>42457</v>
      </c>
      <c r="E3273" s="1" t="s">
        <v>18</v>
      </c>
      <c r="F3273" t="str">
        <f>HYPERLINK("http://www.sec.gov/Archives/edgar/data/1581552/0001185185-16-004022-index.html")</f>
        <v>http://www.sec.gov/Archives/edgar/data/1581552/0001185185-16-004022-index.html</v>
      </c>
    </row>
    <row r="3274" spans="1:6" x14ac:dyDescent="0.2">
      <c r="A3274" t="s">
        <v>2916</v>
      </c>
      <c r="B3274" s="1">
        <v>1582919</v>
      </c>
      <c r="C3274" s="1">
        <v>1000</v>
      </c>
      <c r="D3274" s="2">
        <v>42457</v>
      </c>
      <c r="E3274" s="1" t="s">
        <v>18</v>
      </c>
      <c r="F3274" t="str">
        <f>HYPERLINK("http://www.sec.gov/Archives/edgar/data/1582919/0001062993-16-008517-index.html")</f>
        <v>http://www.sec.gov/Archives/edgar/data/1582919/0001062993-16-008517-index.html</v>
      </c>
    </row>
    <row r="3275" spans="1:6" x14ac:dyDescent="0.2">
      <c r="A3275" t="s">
        <v>2917</v>
      </c>
      <c r="B3275" s="1">
        <v>1583077</v>
      </c>
      <c r="C3275" s="1">
        <v>6798</v>
      </c>
      <c r="D3275" s="2">
        <v>42457</v>
      </c>
      <c r="E3275" s="1" t="s">
        <v>18</v>
      </c>
      <c r="F3275" t="str">
        <f>HYPERLINK("http://www.sec.gov/Archives/edgar/data/1583077/0001583077-16-000021-index.html")</f>
        <v>http://www.sec.gov/Archives/edgar/data/1583077/0001583077-16-000021-index.html</v>
      </c>
    </row>
    <row r="3276" spans="1:6" x14ac:dyDescent="0.2">
      <c r="A3276" t="s">
        <v>2918</v>
      </c>
      <c r="B3276" s="1">
        <v>1583712</v>
      </c>
      <c r="C3276" s="1">
        <v>6189</v>
      </c>
      <c r="D3276" s="2">
        <v>42457</v>
      </c>
      <c r="E3276" s="1" t="s">
        <v>18</v>
      </c>
      <c r="F3276" t="str">
        <f>HYPERLINK("http://www.sec.gov/Archives/edgar/data/1583712/0001193125-16-519403-index.html")</f>
        <v>http://www.sec.gov/Archives/edgar/data/1583712/0001193125-16-519403-index.html</v>
      </c>
    </row>
    <row r="3277" spans="1:6" x14ac:dyDescent="0.2">
      <c r="A3277" t="s">
        <v>2919</v>
      </c>
      <c r="B3277" s="1">
        <v>1590997</v>
      </c>
      <c r="C3277" s="1">
        <v>6189</v>
      </c>
      <c r="D3277" s="2">
        <v>42457</v>
      </c>
      <c r="E3277" s="1" t="s">
        <v>18</v>
      </c>
      <c r="F3277" t="str">
        <f>HYPERLINK("http://www.sec.gov/Archives/edgar/data/1590997/0001193125-16-519392-index.html")</f>
        <v>http://www.sec.gov/Archives/edgar/data/1590997/0001193125-16-519392-index.html</v>
      </c>
    </row>
    <row r="3278" spans="1:6" x14ac:dyDescent="0.2">
      <c r="A3278" t="s">
        <v>2920</v>
      </c>
      <c r="B3278" s="1">
        <v>1591096</v>
      </c>
      <c r="C3278" s="1">
        <v>3841</v>
      </c>
      <c r="D3278" s="2">
        <v>42457</v>
      </c>
      <c r="E3278" s="1" t="s">
        <v>18</v>
      </c>
      <c r="F3278" t="str">
        <f>HYPERLINK("http://www.sec.gov/Archives/edgar/data/1591096/0001564590-16-015335-index.html")</f>
        <v>http://www.sec.gov/Archives/edgar/data/1591096/0001564590-16-015335-index.html</v>
      </c>
    </row>
    <row r="3279" spans="1:6" x14ac:dyDescent="0.2">
      <c r="A3279" t="s">
        <v>2921</v>
      </c>
      <c r="B3279" s="1">
        <v>1595097</v>
      </c>
      <c r="C3279" s="1">
        <v>2834</v>
      </c>
      <c r="D3279" s="2">
        <v>42457</v>
      </c>
      <c r="E3279" s="1" t="s">
        <v>18</v>
      </c>
      <c r="F3279" t="str">
        <f>HYPERLINK("http://www.sec.gov/Archives/edgar/data/1595097/0001564590-16-015403-index.html")</f>
        <v>http://www.sec.gov/Archives/edgar/data/1595097/0001564590-16-015403-index.html</v>
      </c>
    </row>
    <row r="3280" spans="1:6" x14ac:dyDescent="0.2">
      <c r="A3280" t="s">
        <v>2922</v>
      </c>
      <c r="B3280" s="1">
        <v>1597313</v>
      </c>
      <c r="C3280" s="1">
        <v>3845</v>
      </c>
      <c r="D3280" s="2">
        <v>42457</v>
      </c>
      <c r="E3280" s="1" t="s">
        <v>18</v>
      </c>
      <c r="F3280" t="str">
        <f>HYPERLINK("http://www.sec.gov/Archives/edgar/data/1597313/0001564590-16-015397-index.html")</f>
        <v>http://www.sec.gov/Archives/edgar/data/1597313/0001564590-16-015397-index.html</v>
      </c>
    </row>
    <row r="3281" spans="1:6" x14ac:dyDescent="0.2">
      <c r="A3281" t="s">
        <v>2923</v>
      </c>
      <c r="B3281" s="1">
        <v>1599385</v>
      </c>
      <c r="C3281" s="1">
        <v>7380</v>
      </c>
      <c r="D3281" s="2">
        <v>42457</v>
      </c>
      <c r="E3281" s="1" t="s">
        <v>18</v>
      </c>
      <c r="F3281" t="str">
        <f>HYPERLINK("http://www.sec.gov/Archives/edgar/data/1599385/0001663577-16-000081-index.html")</f>
        <v>http://www.sec.gov/Archives/edgar/data/1599385/0001663577-16-000081-index.html</v>
      </c>
    </row>
    <row r="3282" spans="1:6" x14ac:dyDescent="0.2">
      <c r="A3282" t="s">
        <v>2924</v>
      </c>
      <c r="B3282" s="1">
        <v>1602190</v>
      </c>
      <c r="C3282" s="1">
        <v>6189</v>
      </c>
      <c r="D3282" s="2">
        <v>42457</v>
      </c>
      <c r="E3282" s="1" t="s">
        <v>18</v>
      </c>
      <c r="F3282" t="str">
        <f>HYPERLINK("http://www.sec.gov/Archives/edgar/data/1602190/0001193125-16-519399-index.html")</f>
        <v>http://www.sec.gov/Archives/edgar/data/1602190/0001193125-16-519399-index.html</v>
      </c>
    </row>
    <row r="3283" spans="1:6" x14ac:dyDescent="0.2">
      <c r="A3283" t="s">
        <v>2925</v>
      </c>
      <c r="B3283" s="1">
        <v>1606440</v>
      </c>
      <c r="C3283" s="1">
        <v>6022</v>
      </c>
      <c r="D3283" s="2">
        <v>42457</v>
      </c>
      <c r="E3283" s="1" t="s">
        <v>18</v>
      </c>
      <c r="F3283" t="str">
        <f>HYPERLINK("http://www.sec.gov/Archives/edgar/data/1606440/0001193125-16-519853-index.html")</f>
        <v>http://www.sec.gov/Archives/edgar/data/1606440/0001193125-16-519853-index.html</v>
      </c>
    </row>
    <row r="3284" spans="1:6" x14ac:dyDescent="0.2">
      <c r="A3284" t="s">
        <v>2926</v>
      </c>
      <c r="B3284" s="1">
        <v>1609714</v>
      </c>
      <c r="C3284" s="1">
        <v>6189</v>
      </c>
      <c r="D3284" s="2">
        <v>42457</v>
      </c>
      <c r="E3284" s="1" t="s">
        <v>18</v>
      </c>
      <c r="F3284" t="str">
        <f>HYPERLINK("http://www.sec.gov/Archives/edgar/data/1609714/0001193125-16-519438-index.html")</f>
        <v>http://www.sec.gov/Archives/edgar/data/1609714/0001193125-16-519438-index.html</v>
      </c>
    </row>
    <row r="3285" spans="1:6" x14ac:dyDescent="0.2">
      <c r="A3285" t="s">
        <v>2927</v>
      </c>
      <c r="B3285" s="1">
        <v>1613489</v>
      </c>
      <c r="C3285" s="1">
        <v>7372</v>
      </c>
      <c r="D3285" s="2">
        <v>42457</v>
      </c>
      <c r="E3285" s="1" t="s">
        <v>18</v>
      </c>
      <c r="F3285" t="str">
        <f>HYPERLINK("http://www.sec.gov/Archives/edgar/data/1613489/0001078782-16-002502-index.html")</f>
        <v>http://www.sec.gov/Archives/edgar/data/1613489/0001078782-16-002502-index.html</v>
      </c>
    </row>
    <row r="3286" spans="1:6" x14ac:dyDescent="0.2">
      <c r="A3286" t="s">
        <v>1505</v>
      </c>
      <c r="B3286" s="1">
        <v>1616495</v>
      </c>
      <c r="C3286" s="1">
        <v>3841</v>
      </c>
      <c r="D3286" s="2">
        <v>42457</v>
      </c>
      <c r="E3286" s="1" t="s">
        <v>18</v>
      </c>
      <c r="F3286" t="str">
        <f>HYPERLINK("http://www.sec.gov/Archives/edgar/data/1616495/0001511164-16-000704-index.html")</f>
        <v>http://www.sec.gov/Archives/edgar/data/1616495/0001511164-16-000704-index.html</v>
      </c>
    </row>
    <row r="3287" spans="1:6" x14ac:dyDescent="0.2">
      <c r="A3287" t="s">
        <v>2928</v>
      </c>
      <c r="B3287" s="1">
        <v>1617166</v>
      </c>
      <c r="C3287" s="1">
        <v>6189</v>
      </c>
      <c r="D3287" s="2">
        <v>42457</v>
      </c>
      <c r="E3287" s="1" t="s">
        <v>18</v>
      </c>
      <c r="F3287" t="str">
        <f>HYPERLINK("http://www.sec.gov/Archives/edgar/data/1617166/0001193125-16-519388-index.html")</f>
        <v>http://www.sec.gov/Archives/edgar/data/1617166/0001193125-16-519388-index.html</v>
      </c>
    </row>
    <row r="3288" spans="1:6" x14ac:dyDescent="0.2">
      <c r="A3288" t="s">
        <v>2929</v>
      </c>
      <c r="B3288" s="1">
        <v>1618696</v>
      </c>
      <c r="C3288" s="1">
        <v>6189</v>
      </c>
      <c r="D3288" s="2">
        <v>42457</v>
      </c>
      <c r="E3288" s="1" t="s">
        <v>18</v>
      </c>
      <c r="F3288" t="str">
        <f>HYPERLINK("http://www.sec.gov/Archives/edgar/data/1618696/0001618696-16-000040-index.html")</f>
        <v>http://www.sec.gov/Archives/edgar/data/1618696/0001618696-16-000040-index.html</v>
      </c>
    </row>
    <row r="3289" spans="1:6" x14ac:dyDescent="0.2">
      <c r="A3289" t="s">
        <v>2930</v>
      </c>
      <c r="B3289" s="1">
        <v>1620179</v>
      </c>
      <c r="C3289" s="1">
        <v>6770</v>
      </c>
      <c r="D3289" s="2">
        <v>42457</v>
      </c>
      <c r="E3289" s="1" t="s">
        <v>18</v>
      </c>
      <c r="F3289" t="str">
        <f>HYPERLINK("http://www.sec.gov/Archives/edgar/data/1620179/0001213900-16-011905-index.html")</f>
        <v>http://www.sec.gov/Archives/edgar/data/1620179/0001213900-16-011905-index.html</v>
      </c>
    </row>
    <row r="3290" spans="1:6" x14ac:dyDescent="0.2">
      <c r="A3290" t="s">
        <v>2931</v>
      </c>
      <c r="B3290" s="1">
        <v>1621832</v>
      </c>
      <c r="C3290" s="1">
        <v>3341</v>
      </c>
      <c r="D3290" s="2">
        <v>42457</v>
      </c>
      <c r="E3290" s="1" t="s">
        <v>18</v>
      </c>
      <c r="F3290" t="str">
        <f>HYPERLINK("http://www.sec.gov/Archives/edgar/data/1621832/0001615774-16-004637-index.html")</f>
        <v>http://www.sec.gov/Archives/edgar/data/1621832/0001615774-16-004637-index.html</v>
      </c>
    </row>
    <row r="3291" spans="1:6" x14ac:dyDescent="0.2">
      <c r="A3291" t="s">
        <v>2932</v>
      </c>
      <c r="B3291" s="1">
        <v>1622765</v>
      </c>
      <c r="C3291" s="1">
        <v>6189</v>
      </c>
      <c r="D3291" s="2">
        <v>42457</v>
      </c>
      <c r="E3291" s="1" t="s">
        <v>18</v>
      </c>
      <c r="F3291" t="str">
        <f>HYPERLINK("http://www.sec.gov/Archives/edgar/data/1622765/0001539497-16-002679-index.html")</f>
        <v>http://www.sec.gov/Archives/edgar/data/1622765/0001539497-16-002679-index.html</v>
      </c>
    </row>
    <row r="3292" spans="1:6" x14ac:dyDescent="0.2">
      <c r="A3292" t="s">
        <v>2933</v>
      </c>
      <c r="B3292" s="1">
        <v>1624831</v>
      </c>
      <c r="C3292" s="1">
        <v>6189</v>
      </c>
      <c r="D3292" s="2">
        <v>42457</v>
      </c>
      <c r="E3292" s="1" t="s">
        <v>18</v>
      </c>
      <c r="F3292" t="str">
        <f>HYPERLINK("http://www.sec.gov/Archives/edgar/data/1624831/0001193125-16-519457-index.html")</f>
        <v>http://www.sec.gov/Archives/edgar/data/1624831/0001193125-16-519457-index.html</v>
      </c>
    </row>
    <row r="3293" spans="1:6" x14ac:dyDescent="0.2">
      <c r="A3293" t="s">
        <v>2934</v>
      </c>
      <c r="B3293" s="1">
        <v>1630372</v>
      </c>
      <c r="C3293" s="1">
        <v>6189</v>
      </c>
      <c r="D3293" s="2">
        <v>42457</v>
      </c>
      <c r="E3293" s="1" t="s">
        <v>18</v>
      </c>
      <c r="F3293" t="str">
        <f>HYPERLINK("http://www.sec.gov/Archives/edgar/data/1630372/0001193125-16-519445-index.html")</f>
        <v>http://www.sec.gov/Archives/edgar/data/1630372/0001193125-16-519445-index.html</v>
      </c>
    </row>
    <row r="3294" spans="1:6" x14ac:dyDescent="0.2">
      <c r="A3294" t="s">
        <v>2935</v>
      </c>
      <c r="B3294" s="1">
        <v>1631055</v>
      </c>
      <c r="C3294" s="1">
        <v>6189</v>
      </c>
      <c r="D3294" s="2">
        <v>42457</v>
      </c>
      <c r="E3294" s="1" t="s">
        <v>18</v>
      </c>
      <c r="F3294" t="str">
        <f>HYPERLINK("http://www.sec.gov/Archives/edgar/data/1631055/0001193125-16-519292-index.html")</f>
        <v>http://www.sec.gov/Archives/edgar/data/1631055/0001193125-16-519292-index.html</v>
      </c>
    </row>
    <row r="3295" spans="1:6" x14ac:dyDescent="0.2">
      <c r="A3295" t="s">
        <v>2935</v>
      </c>
      <c r="B3295" s="1">
        <v>1631055</v>
      </c>
      <c r="C3295" s="1">
        <v>6189</v>
      </c>
      <c r="D3295" s="2">
        <v>42457</v>
      </c>
      <c r="E3295" s="1" t="s">
        <v>18</v>
      </c>
      <c r="F3295" t="str">
        <f>HYPERLINK("http://www.sec.gov/Archives/edgar/data/1631055/0001193125-16-519308-index.html")</f>
        <v>http://www.sec.gov/Archives/edgar/data/1631055/0001193125-16-519308-index.html</v>
      </c>
    </row>
    <row r="3296" spans="1:6" x14ac:dyDescent="0.2">
      <c r="A3296" t="s">
        <v>2935</v>
      </c>
      <c r="B3296" s="1">
        <v>1631055</v>
      </c>
      <c r="C3296" s="1">
        <v>6189</v>
      </c>
      <c r="D3296" s="2">
        <v>42457</v>
      </c>
      <c r="E3296" s="1" t="s">
        <v>18</v>
      </c>
      <c r="F3296" t="str">
        <f>HYPERLINK("http://www.sec.gov/Archives/edgar/data/1631055/0001193125-16-519330-index.html")</f>
        <v>http://www.sec.gov/Archives/edgar/data/1631055/0001193125-16-519330-index.html</v>
      </c>
    </row>
    <row r="3297" spans="1:6" x14ac:dyDescent="0.2">
      <c r="A3297" t="s">
        <v>2936</v>
      </c>
      <c r="B3297" s="1">
        <v>1635282</v>
      </c>
      <c r="C3297" s="1">
        <v>6770</v>
      </c>
      <c r="D3297" s="2">
        <v>42457</v>
      </c>
      <c r="E3297" s="1" t="s">
        <v>18</v>
      </c>
      <c r="F3297" t="str">
        <f>HYPERLINK("http://www.sec.gov/Archives/edgar/data/1635282/0001144204-16-090669-index.html")</f>
        <v>http://www.sec.gov/Archives/edgar/data/1635282/0001144204-16-090669-index.html</v>
      </c>
    </row>
    <row r="3298" spans="1:6" x14ac:dyDescent="0.2">
      <c r="A3298" t="s">
        <v>2937</v>
      </c>
      <c r="B3298" s="1">
        <v>1636736</v>
      </c>
      <c r="C3298" s="1">
        <v>6189</v>
      </c>
      <c r="D3298" s="2">
        <v>42457</v>
      </c>
      <c r="E3298" s="1" t="s">
        <v>18</v>
      </c>
      <c r="F3298" t="str">
        <f>HYPERLINK("http://www.sec.gov/Archives/edgar/data/1636736/0001193125-16-519330-index.html")</f>
        <v>http://www.sec.gov/Archives/edgar/data/1636736/0001193125-16-519330-index.html</v>
      </c>
    </row>
    <row r="3299" spans="1:6" x14ac:dyDescent="0.2">
      <c r="A3299" t="s">
        <v>2938</v>
      </c>
      <c r="B3299" s="1">
        <v>1638448</v>
      </c>
      <c r="C3299" s="1">
        <v>6189</v>
      </c>
      <c r="D3299" s="2">
        <v>42457</v>
      </c>
      <c r="E3299" s="1" t="s">
        <v>18</v>
      </c>
      <c r="F3299" t="str">
        <f>HYPERLINK("http://www.sec.gov/Archives/edgar/data/1638448/0001193125-16-519366-index.html")</f>
        <v>http://www.sec.gov/Archives/edgar/data/1638448/0001193125-16-519366-index.html</v>
      </c>
    </row>
    <row r="3300" spans="1:6" x14ac:dyDescent="0.2">
      <c r="A3300" t="s">
        <v>2939</v>
      </c>
      <c r="B3300" s="1">
        <v>1641398</v>
      </c>
      <c r="C3300" s="1">
        <v>6770</v>
      </c>
      <c r="D3300" s="2">
        <v>42457</v>
      </c>
      <c r="E3300" s="1" t="s">
        <v>18</v>
      </c>
      <c r="F3300" t="str">
        <f>HYPERLINK("http://www.sec.gov/Archives/edgar/data/1641398/0001213900-16-011910-index.html")</f>
        <v>http://www.sec.gov/Archives/edgar/data/1641398/0001213900-16-011910-index.html</v>
      </c>
    </row>
    <row r="3301" spans="1:6" x14ac:dyDescent="0.2">
      <c r="A3301" t="s">
        <v>2940</v>
      </c>
      <c r="B3301" s="1">
        <v>1641601</v>
      </c>
      <c r="C3301" s="1">
        <v>6022</v>
      </c>
      <c r="D3301" s="2">
        <v>42457</v>
      </c>
      <c r="E3301" s="1" t="s">
        <v>18</v>
      </c>
      <c r="F3301" t="str">
        <f>HYPERLINK("http://www.sec.gov/Archives/edgar/data/1641601/0001564590-16-015388-index.html")</f>
        <v>http://www.sec.gov/Archives/edgar/data/1641601/0001564590-16-015388-index.html</v>
      </c>
    </row>
    <row r="3302" spans="1:6" x14ac:dyDescent="0.2">
      <c r="A3302" t="s">
        <v>2941</v>
      </c>
      <c r="B3302" s="1">
        <v>1644285</v>
      </c>
      <c r="C3302" s="1">
        <v>6189</v>
      </c>
      <c r="D3302" s="2">
        <v>42457</v>
      </c>
      <c r="E3302" s="1" t="s">
        <v>18</v>
      </c>
      <c r="F3302" t="str">
        <f>HYPERLINK("http://www.sec.gov/Archives/edgar/data/1644285/0001193125-16-519292-index.html")</f>
        <v>http://www.sec.gov/Archives/edgar/data/1644285/0001193125-16-519292-index.html</v>
      </c>
    </row>
    <row r="3303" spans="1:6" x14ac:dyDescent="0.2">
      <c r="A3303" t="s">
        <v>2942</v>
      </c>
      <c r="B3303" s="1">
        <v>1649716</v>
      </c>
      <c r="C3303" s="1">
        <v>6189</v>
      </c>
      <c r="D3303" s="2">
        <v>42457</v>
      </c>
      <c r="E3303" s="1" t="s">
        <v>18</v>
      </c>
      <c r="F3303" t="str">
        <f>HYPERLINK("http://www.sec.gov/Archives/edgar/data/1649716/0001193125-16-519424-index.html")</f>
        <v>http://www.sec.gov/Archives/edgar/data/1649716/0001193125-16-519424-index.html</v>
      </c>
    </row>
    <row r="3304" spans="1:6" x14ac:dyDescent="0.2">
      <c r="A3304" t="s">
        <v>2943</v>
      </c>
      <c r="B3304" s="1">
        <v>1654865</v>
      </c>
      <c r="C3304" s="1">
        <v>6189</v>
      </c>
      <c r="D3304" s="2">
        <v>42457</v>
      </c>
      <c r="E3304" s="1" t="s">
        <v>18</v>
      </c>
      <c r="F3304" t="str">
        <f>HYPERLINK("http://www.sec.gov/Archives/edgar/data/1654865/0001193125-16-519308-index.html")</f>
        <v>http://www.sec.gov/Archives/edgar/data/1654865/0001193125-16-519308-index.html</v>
      </c>
    </row>
    <row r="3305" spans="1:6" x14ac:dyDescent="0.2">
      <c r="A3305" t="s">
        <v>2944</v>
      </c>
      <c r="B3305" s="1">
        <v>1657146</v>
      </c>
      <c r="C3305" s="1">
        <v>6189</v>
      </c>
      <c r="D3305" s="2">
        <v>42457</v>
      </c>
      <c r="E3305" s="1" t="s">
        <v>18</v>
      </c>
      <c r="F3305" t="str">
        <f>HYPERLINK("http://www.sec.gov/Archives/edgar/data/1657146/0001193125-16-519415-index.html")</f>
        <v>http://www.sec.gov/Archives/edgar/data/1657146/0001193125-16-519415-index.html</v>
      </c>
    </row>
    <row r="3306" spans="1:6" x14ac:dyDescent="0.2">
      <c r="A3306" t="s">
        <v>2945</v>
      </c>
      <c r="B3306" s="1">
        <v>351998</v>
      </c>
      <c r="C3306" s="1">
        <v>3825</v>
      </c>
      <c r="D3306" s="2">
        <v>42457</v>
      </c>
      <c r="E3306" s="1" t="s">
        <v>18</v>
      </c>
      <c r="F3306" t="str">
        <f>HYPERLINK("http://www.sec.gov/Archives/edgar/data/351998/0000351998-16-000036-index.html")</f>
        <v>http://www.sec.gov/Archives/edgar/data/351998/0000351998-16-000036-index.html</v>
      </c>
    </row>
    <row r="3307" spans="1:6" x14ac:dyDescent="0.2">
      <c r="A3307" t="s">
        <v>2946</v>
      </c>
      <c r="B3307" s="1">
        <v>728447</v>
      </c>
      <c r="C3307" s="1">
        <v>6770</v>
      </c>
      <c r="D3307" s="2">
        <v>42457</v>
      </c>
      <c r="E3307" s="1" t="s">
        <v>18</v>
      </c>
      <c r="F3307" t="str">
        <f>HYPERLINK("http://www.sec.gov/Archives/edgar/data/728447/0001213900-16-011900-index.html")</f>
        <v>http://www.sec.gov/Archives/edgar/data/728447/0001213900-16-011900-index.html</v>
      </c>
    </row>
    <row r="3308" spans="1:6" x14ac:dyDescent="0.2">
      <c r="A3308" t="s">
        <v>2947</v>
      </c>
      <c r="B3308" s="1">
        <v>743870</v>
      </c>
      <c r="C3308" s="1">
        <v>6500</v>
      </c>
      <c r="D3308" s="2">
        <v>42457</v>
      </c>
      <c r="E3308" s="1" t="s">
        <v>18</v>
      </c>
      <c r="F3308" t="str">
        <f>HYPERLINK("http://www.sec.gov/Archives/edgar/data/743870/0001144204-16-090547-index.html")</f>
        <v>http://www.sec.gov/Archives/edgar/data/743870/0001144204-16-090547-index.html</v>
      </c>
    </row>
    <row r="3309" spans="1:6" x14ac:dyDescent="0.2">
      <c r="A3309" t="s">
        <v>2948</v>
      </c>
      <c r="B3309" s="1">
        <v>74925</v>
      </c>
      <c r="C3309" s="1">
        <v>1040</v>
      </c>
      <c r="D3309" s="2">
        <v>42457</v>
      </c>
      <c r="E3309" s="1" t="s">
        <v>18</v>
      </c>
      <c r="F3309" t="str">
        <f>HYPERLINK("http://www.sec.gov/Archives/edgar/data/74925/0000074925-16-000013-index.html")</f>
        <v>http://www.sec.gov/Archives/edgar/data/74925/0000074925-16-000013-index.html</v>
      </c>
    </row>
    <row r="3310" spans="1:6" x14ac:dyDescent="0.2">
      <c r="A3310" t="s">
        <v>2949</v>
      </c>
      <c r="B3310" s="1">
        <v>75288</v>
      </c>
      <c r="C3310" s="1">
        <v>2320</v>
      </c>
      <c r="D3310" s="2">
        <v>42457</v>
      </c>
      <c r="E3310" s="1" t="s">
        <v>18</v>
      </c>
      <c r="F3310" t="str">
        <f>HYPERLINK("http://www.sec.gov/Archives/edgar/data/75288/0000075288-16-000080-index.html")</f>
        <v>http://www.sec.gov/Archives/edgar/data/75288/0000075288-16-000080-index.html</v>
      </c>
    </row>
    <row r="3311" spans="1:6" x14ac:dyDescent="0.2">
      <c r="A3311" t="s">
        <v>2950</v>
      </c>
      <c r="B3311" s="1">
        <v>778438</v>
      </c>
      <c r="C3311" s="1">
        <v>1311</v>
      </c>
      <c r="D3311" s="2">
        <v>42457</v>
      </c>
      <c r="E3311" s="1" t="s">
        <v>18</v>
      </c>
      <c r="F3311" t="str">
        <f>HYPERLINK("http://www.sec.gov/Archives/edgar/data/778438/0000778438-16-000020-index.html")</f>
        <v>http://www.sec.gov/Archives/edgar/data/778438/0000778438-16-000020-index.html</v>
      </c>
    </row>
    <row r="3312" spans="1:6" x14ac:dyDescent="0.2">
      <c r="A3312" t="s">
        <v>2951</v>
      </c>
      <c r="B3312" s="1">
        <v>803164</v>
      </c>
      <c r="C3312" s="1">
        <v>6022</v>
      </c>
      <c r="D3312" s="2">
        <v>42457</v>
      </c>
      <c r="E3312" s="1" t="s">
        <v>18</v>
      </c>
      <c r="F3312" t="str">
        <f>HYPERLINK("http://www.sec.gov/Archives/edgar/data/803164/0001387131-16-004721-index.html")</f>
        <v>http://www.sec.gov/Archives/edgar/data/803164/0001387131-16-004721-index.html</v>
      </c>
    </row>
    <row r="3313" spans="1:6" x14ac:dyDescent="0.2">
      <c r="A3313" t="s">
        <v>2952</v>
      </c>
      <c r="B3313" s="1">
        <v>86264</v>
      </c>
      <c r="C3313" s="1">
        <v>1311</v>
      </c>
      <c r="D3313" s="2">
        <v>42457</v>
      </c>
      <c r="E3313" s="1" t="s">
        <v>18</v>
      </c>
      <c r="F3313" t="str">
        <f>HYPERLINK("http://www.sec.gov/Archives/edgar/data/86264/0001213900-16-011912-index.html")</f>
        <v>http://www.sec.gov/Archives/edgar/data/86264/0001213900-16-011912-index.html</v>
      </c>
    </row>
    <row r="3314" spans="1:6" x14ac:dyDescent="0.2">
      <c r="A3314" t="s">
        <v>2953</v>
      </c>
      <c r="B3314" s="1">
        <v>873799</v>
      </c>
      <c r="C3314" s="1">
        <v>6798</v>
      </c>
      <c r="D3314" s="2">
        <v>42457</v>
      </c>
      <c r="E3314" s="1" t="s">
        <v>18</v>
      </c>
      <c r="F3314" t="str">
        <f>HYPERLINK("http://www.sec.gov/Archives/edgar/data/873799/0001193125-16-519808-index.html")</f>
        <v>http://www.sec.gov/Archives/edgar/data/873799/0001193125-16-519808-index.html</v>
      </c>
    </row>
    <row r="3315" spans="1:6" x14ac:dyDescent="0.2">
      <c r="A3315" t="s">
        <v>2954</v>
      </c>
      <c r="B3315" s="1">
        <v>875296</v>
      </c>
      <c r="C3315" s="1">
        <v>2851</v>
      </c>
      <c r="D3315" s="2">
        <v>42457</v>
      </c>
      <c r="E3315" s="1" t="s">
        <v>18</v>
      </c>
      <c r="F3315" t="str">
        <f>HYPERLINK("http://www.sec.gov/Archives/edgar/data/875296/0001628280-16-013199-index.html")</f>
        <v>http://www.sec.gov/Archives/edgar/data/875296/0001628280-16-013199-index.html</v>
      </c>
    </row>
    <row r="3316" spans="1:6" x14ac:dyDescent="0.2">
      <c r="A3316" t="s">
        <v>2955</v>
      </c>
      <c r="B3316" s="1">
        <v>878802</v>
      </c>
      <c r="C3316" s="1">
        <v>3669</v>
      </c>
      <c r="D3316" s="2">
        <v>42457</v>
      </c>
      <c r="E3316" s="1" t="s">
        <v>18</v>
      </c>
      <c r="F3316" t="str">
        <f>HYPERLINK("http://www.sec.gov/Archives/edgar/data/878802/0001185185-16-004020-index.html")</f>
        <v>http://www.sec.gov/Archives/edgar/data/878802/0001185185-16-004020-index.html</v>
      </c>
    </row>
    <row r="3317" spans="1:6" x14ac:dyDescent="0.2">
      <c r="A3317" t="s">
        <v>2956</v>
      </c>
      <c r="B3317" s="1">
        <v>889348</v>
      </c>
      <c r="C3317" s="1">
        <v>3728</v>
      </c>
      <c r="D3317" s="2">
        <v>42457</v>
      </c>
      <c r="E3317" s="1" t="s">
        <v>18</v>
      </c>
      <c r="F3317" t="str">
        <f>HYPERLINK("http://www.sec.gov/Archives/edgar/data/889348/0001437749-16-028440-index.html")</f>
        <v>http://www.sec.gov/Archives/edgar/data/889348/0001437749-16-028440-index.html</v>
      </c>
    </row>
    <row r="3318" spans="1:6" x14ac:dyDescent="0.2">
      <c r="A3318" t="s">
        <v>2957</v>
      </c>
      <c r="B3318" s="1">
        <v>895051</v>
      </c>
      <c r="C3318" s="1">
        <v>2836</v>
      </c>
      <c r="D3318" s="2">
        <v>42457</v>
      </c>
      <c r="E3318" s="1" t="s">
        <v>18</v>
      </c>
      <c r="F3318" t="str">
        <f>HYPERLINK("http://www.sec.gov/Archives/edgar/data/895051/0001144204-16-090485-index.html")</f>
        <v>http://www.sec.gov/Archives/edgar/data/895051/0001144204-16-090485-index.html</v>
      </c>
    </row>
    <row r="3319" spans="1:6" x14ac:dyDescent="0.2">
      <c r="A3319" t="s">
        <v>2958</v>
      </c>
      <c r="B3319" s="1">
        <v>914747</v>
      </c>
      <c r="C3319" s="1">
        <v>6798</v>
      </c>
      <c r="D3319" s="2">
        <v>42457</v>
      </c>
      <c r="E3319" s="1" t="s">
        <v>18</v>
      </c>
      <c r="F3319" t="str">
        <f>HYPERLINK("http://www.sec.gov/Archives/edgar/data/914747/0001193125-16-519574-index.html")</f>
        <v>http://www.sec.gov/Archives/edgar/data/914747/0001193125-16-519574-index.html</v>
      </c>
    </row>
    <row r="3320" spans="1:6" x14ac:dyDescent="0.2">
      <c r="A3320" t="s">
        <v>2959</v>
      </c>
      <c r="B3320" s="1">
        <v>924719</v>
      </c>
      <c r="C3320" s="1">
        <v>3272</v>
      </c>
      <c r="D3320" s="2">
        <v>42457</v>
      </c>
      <c r="E3320" s="1" t="s">
        <v>18</v>
      </c>
      <c r="F3320" t="str">
        <f>HYPERLINK("http://www.sec.gov/Archives/edgar/data/924719/0001628280-16-013202-index.html")</f>
        <v>http://www.sec.gov/Archives/edgar/data/924719/0001628280-16-013202-index.html</v>
      </c>
    </row>
    <row r="3321" spans="1:6" x14ac:dyDescent="0.2">
      <c r="A3321" t="s">
        <v>2960</v>
      </c>
      <c r="B3321" s="1">
        <v>925263</v>
      </c>
      <c r="C3321" s="1">
        <v>6798</v>
      </c>
      <c r="D3321" s="2">
        <v>42457</v>
      </c>
      <c r="E3321" s="1" t="s">
        <v>18</v>
      </c>
      <c r="F3321" t="str">
        <f>HYPERLINK("http://www.sec.gov/Archives/edgar/data/925263/0001193125-16-519582-index.html")</f>
        <v>http://www.sec.gov/Archives/edgar/data/925263/0001193125-16-519582-index.html</v>
      </c>
    </row>
    <row r="3322" spans="1:6" x14ac:dyDescent="0.2">
      <c r="A3322" t="s">
        <v>2961</v>
      </c>
      <c r="B3322" s="1">
        <v>925306</v>
      </c>
      <c r="C3322" s="1">
        <v>6221</v>
      </c>
      <c r="D3322" s="2">
        <v>42457</v>
      </c>
      <c r="E3322" s="1" t="s">
        <v>18</v>
      </c>
      <c r="F3322" t="str">
        <f>HYPERLINK("http://www.sec.gov/Archives/edgar/data/925306/0001193125-16-519703-index.html")</f>
        <v>http://www.sec.gov/Archives/edgar/data/925306/0001193125-16-519703-index.html</v>
      </c>
    </row>
    <row r="3323" spans="1:6" x14ac:dyDescent="0.2">
      <c r="A3323" t="s">
        <v>2962</v>
      </c>
      <c r="B3323" s="1">
        <v>935703</v>
      </c>
      <c r="C3323" s="1">
        <v>5331</v>
      </c>
      <c r="D3323" s="2">
        <v>42457</v>
      </c>
      <c r="E3323" s="1" t="s">
        <v>18</v>
      </c>
      <c r="F3323" t="str">
        <f>HYPERLINK("http://www.sec.gov/Archives/edgar/data/935703/0000935703-16-000127-index.html")</f>
        <v>http://www.sec.gov/Archives/edgar/data/935703/0000935703-16-000127-index.html</v>
      </c>
    </row>
    <row r="3324" spans="1:6" x14ac:dyDescent="0.2">
      <c r="A3324" t="s">
        <v>2963</v>
      </c>
      <c r="B3324" s="1">
        <v>943184</v>
      </c>
      <c r="C3324" s="1">
        <v>2300</v>
      </c>
      <c r="D3324" s="2">
        <v>42457</v>
      </c>
      <c r="E3324" s="1" t="s">
        <v>18</v>
      </c>
      <c r="F3324" t="str">
        <f>HYPERLINK("http://www.sec.gov/Archives/edgar/data/943184/0001213900-16-011907-index.html")</f>
        <v>http://www.sec.gov/Archives/edgar/data/943184/0001213900-16-011907-index.html</v>
      </c>
    </row>
    <row r="3325" spans="1:6" x14ac:dyDescent="0.2">
      <c r="A3325" t="s">
        <v>2964</v>
      </c>
      <c r="B3325" s="1">
        <v>944696</v>
      </c>
      <c r="C3325" s="1">
        <v>6211</v>
      </c>
      <c r="D3325" s="2">
        <v>42457</v>
      </c>
      <c r="E3325" s="1" t="s">
        <v>18</v>
      </c>
      <c r="F3325" t="str">
        <f>HYPERLINK("http://www.sec.gov/Archives/edgar/data/944696/0001354488-16-006706-index.html")</f>
        <v>http://www.sec.gov/Archives/edgar/data/944696/0001354488-16-006706-index.html</v>
      </c>
    </row>
    <row r="3326" spans="1:6" x14ac:dyDescent="0.2">
      <c r="A3326" t="s">
        <v>2965</v>
      </c>
      <c r="B3326" s="1">
        <v>949349</v>
      </c>
      <c r="C3326" s="1">
        <v>6189</v>
      </c>
      <c r="D3326" s="2">
        <v>42457</v>
      </c>
      <c r="E3326" s="1" t="s">
        <v>18</v>
      </c>
      <c r="F3326" t="str">
        <f>HYPERLINK("http://www.sec.gov/Archives/edgar/data/949349/0001193125-16-519532-index.html")</f>
        <v>http://www.sec.gov/Archives/edgar/data/949349/0001193125-16-519532-index.html</v>
      </c>
    </row>
    <row r="3327" spans="1:6" x14ac:dyDescent="0.2">
      <c r="A3327" t="s">
        <v>2966</v>
      </c>
      <c r="B3327" s="1">
        <v>98246</v>
      </c>
      <c r="C3327" s="1">
        <v>5944</v>
      </c>
      <c r="D3327" s="2">
        <v>42457</v>
      </c>
      <c r="E3327" s="1" t="s">
        <v>18</v>
      </c>
      <c r="F3327" t="str">
        <f>HYPERLINK("http://www.sec.gov/Archives/edgar/data/98246/0000098246-16-000211-index.html")</f>
        <v>http://www.sec.gov/Archives/edgar/data/98246/0000098246-16-000211-index.html</v>
      </c>
    </row>
    <row r="3328" spans="1:6" x14ac:dyDescent="0.2">
      <c r="A3328" t="s">
        <v>2967</v>
      </c>
      <c r="B3328" s="1">
        <v>100716</v>
      </c>
      <c r="C3328" s="1">
        <v>6331</v>
      </c>
      <c r="D3328" s="2">
        <v>42454</v>
      </c>
      <c r="E3328" s="1" t="s">
        <v>18</v>
      </c>
      <c r="F3328" t="str">
        <f>HYPERLINK("http://www.sec.gov/Archives/edgar/data/100716/0000100716-16-000037-index.html")</f>
        <v>http://www.sec.gov/Archives/edgar/data/100716/0000100716-16-000037-index.html</v>
      </c>
    </row>
    <row r="3329" spans="1:6" x14ac:dyDescent="0.2">
      <c r="A3329" t="s">
        <v>2968</v>
      </c>
      <c r="B3329" s="1">
        <v>1009976</v>
      </c>
      <c r="C3329" s="1">
        <v>6022</v>
      </c>
      <c r="D3329" s="2">
        <v>42454</v>
      </c>
      <c r="E3329" s="1" t="s">
        <v>18</v>
      </c>
      <c r="F3329" t="str">
        <f>HYPERLINK("http://www.sec.gov/Archives/edgar/data/1009976/0001144204-16-090230-index.html")</f>
        <v>http://www.sec.gov/Archives/edgar/data/1009976/0001144204-16-090230-index.html</v>
      </c>
    </row>
    <row r="3330" spans="1:6" x14ac:dyDescent="0.2">
      <c r="A3330" t="s">
        <v>2969</v>
      </c>
      <c r="B3330" s="1">
        <v>1040896</v>
      </c>
      <c r="C3330" s="1">
        <v>7372</v>
      </c>
      <c r="D3330" s="2">
        <v>42454</v>
      </c>
      <c r="E3330" s="1" t="s">
        <v>18</v>
      </c>
      <c r="F3330" t="str">
        <f>HYPERLINK("http://www.sec.gov/Archives/edgar/data/1040896/0001493152-16-008290-index.html")</f>
        <v>http://www.sec.gov/Archives/edgar/data/1040896/0001493152-16-008290-index.html</v>
      </c>
    </row>
    <row r="3331" spans="1:6" x14ac:dyDescent="0.2">
      <c r="A3331" t="s">
        <v>2970</v>
      </c>
      <c r="B3331" s="1">
        <v>1042642</v>
      </c>
      <c r="C3331" s="1">
        <v>4899</v>
      </c>
      <c r="D3331" s="2">
        <v>42454</v>
      </c>
      <c r="E3331" s="1" t="s">
        <v>18</v>
      </c>
      <c r="F3331" t="str">
        <f>HYPERLINK("http://www.sec.gov/Archives/edgar/data/1042642/0001558370-16-004380-index.html")</f>
        <v>http://www.sec.gov/Archives/edgar/data/1042642/0001558370-16-004380-index.html</v>
      </c>
    </row>
    <row r="3332" spans="1:6" x14ac:dyDescent="0.2">
      <c r="A3332" t="s">
        <v>2971</v>
      </c>
      <c r="B3332" s="1">
        <v>1046203</v>
      </c>
      <c r="C3332" s="1">
        <v>6022</v>
      </c>
      <c r="D3332" s="2">
        <v>42454</v>
      </c>
      <c r="E3332" s="1" t="s">
        <v>18</v>
      </c>
      <c r="F3332" t="str">
        <f>HYPERLINK("http://www.sec.gov/Archives/edgar/data/1046203/0001437749-16-028415-index.html")</f>
        <v>http://www.sec.gov/Archives/edgar/data/1046203/0001437749-16-028415-index.html</v>
      </c>
    </row>
    <row r="3333" spans="1:6" x14ac:dyDescent="0.2">
      <c r="A3333" t="s">
        <v>2972</v>
      </c>
      <c r="B3333" s="1">
        <v>1053691</v>
      </c>
      <c r="C3333" s="1">
        <v>2834</v>
      </c>
      <c r="D3333" s="2">
        <v>42454</v>
      </c>
      <c r="E3333" s="1" t="s">
        <v>18</v>
      </c>
      <c r="F3333" t="str">
        <f>HYPERLINK("http://www.sec.gov/Archives/edgar/data/1053691/0001437749-16-028395-index.html")</f>
        <v>http://www.sec.gov/Archives/edgar/data/1053691/0001437749-16-028395-index.html</v>
      </c>
    </row>
    <row r="3334" spans="1:6" x14ac:dyDescent="0.2">
      <c r="A3334" t="s">
        <v>2973</v>
      </c>
      <c r="B3334" s="1">
        <v>1066684</v>
      </c>
      <c r="C3334" s="1">
        <v>7310</v>
      </c>
      <c r="D3334" s="2">
        <v>42454</v>
      </c>
      <c r="E3334" s="1" t="s">
        <v>18</v>
      </c>
      <c r="F3334" t="str">
        <f>HYPERLINK("http://www.sec.gov/Archives/edgar/data/1066684/0001144204-16-090270-index.html")</f>
        <v>http://www.sec.gov/Archives/edgar/data/1066684/0001144204-16-090270-index.html</v>
      </c>
    </row>
    <row r="3335" spans="1:6" x14ac:dyDescent="0.2">
      <c r="A3335" t="s">
        <v>2974</v>
      </c>
      <c r="B3335" s="1">
        <v>1083689</v>
      </c>
      <c r="C3335" s="1">
        <v>6022</v>
      </c>
      <c r="D3335" s="2">
        <v>42454</v>
      </c>
      <c r="E3335" s="1" t="s">
        <v>18</v>
      </c>
      <c r="F3335" t="str">
        <f>HYPERLINK("http://www.sec.gov/Archives/edgar/data/1083689/0001437749-16-028428-index.html")</f>
        <v>http://www.sec.gov/Archives/edgar/data/1083689/0001437749-16-028428-index.html</v>
      </c>
    </row>
    <row r="3336" spans="1:6" x14ac:dyDescent="0.2">
      <c r="A3336" t="s">
        <v>2975</v>
      </c>
      <c r="B3336" s="1">
        <v>1089063</v>
      </c>
      <c r="C3336" s="1">
        <v>5940</v>
      </c>
      <c r="D3336" s="2">
        <v>42454</v>
      </c>
      <c r="E3336" s="1" t="s">
        <v>18</v>
      </c>
      <c r="F3336" t="str">
        <f>HYPERLINK("http://www.sec.gov/Archives/edgar/data/1089063/0001089063-16-000107-index.html")</f>
        <v>http://www.sec.gov/Archives/edgar/data/1089063/0001089063-16-000107-index.html</v>
      </c>
    </row>
    <row r="3337" spans="1:6" x14ac:dyDescent="0.2">
      <c r="A3337" t="s">
        <v>2976</v>
      </c>
      <c r="B3337" s="1">
        <v>1128250</v>
      </c>
      <c r="C3337" s="1">
        <v>6189</v>
      </c>
      <c r="D3337" s="2">
        <v>42454</v>
      </c>
      <c r="E3337" s="1" t="s">
        <v>21</v>
      </c>
      <c r="F3337" t="str">
        <f>HYPERLINK("http://www.sec.gov/Archives/edgar/data/1128250/0001140361-16-059004-index.html")</f>
        <v>http://www.sec.gov/Archives/edgar/data/1128250/0001140361-16-059004-index.html</v>
      </c>
    </row>
    <row r="3338" spans="1:6" x14ac:dyDescent="0.2">
      <c r="A3338" t="s">
        <v>2977</v>
      </c>
      <c r="B3338" s="1">
        <v>1138978</v>
      </c>
      <c r="C3338" s="1">
        <v>3510</v>
      </c>
      <c r="D3338" s="2">
        <v>42454</v>
      </c>
      <c r="E3338" s="1" t="s">
        <v>18</v>
      </c>
      <c r="F3338" t="str">
        <f>HYPERLINK("http://www.sec.gov/Archives/edgar/data/1138978/0001477932-16-009169-index.html")</f>
        <v>http://www.sec.gov/Archives/edgar/data/1138978/0001477932-16-009169-index.html</v>
      </c>
    </row>
    <row r="3339" spans="1:6" x14ac:dyDescent="0.2">
      <c r="A3339" t="s">
        <v>2978</v>
      </c>
      <c r="B3339" s="1">
        <v>1143155</v>
      </c>
      <c r="C3339" s="1">
        <v>6021</v>
      </c>
      <c r="D3339" s="2">
        <v>42454</v>
      </c>
      <c r="E3339" s="1" t="s">
        <v>18</v>
      </c>
      <c r="F3339" t="str">
        <f>HYPERLINK("http://www.sec.gov/Archives/edgar/data/1143155/0001143155-16-000035-index.html")</f>
        <v>http://www.sec.gov/Archives/edgar/data/1143155/0001143155-16-000035-index.html</v>
      </c>
    </row>
    <row r="3340" spans="1:6" x14ac:dyDescent="0.2">
      <c r="A3340" t="s">
        <v>2979</v>
      </c>
      <c r="B3340" s="1">
        <v>1166365</v>
      </c>
      <c r="C3340" s="1">
        <v>2670</v>
      </c>
      <c r="D3340" s="2">
        <v>42454</v>
      </c>
      <c r="E3340" s="1" t="s">
        <v>18</v>
      </c>
      <c r="F3340" t="str">
        <f>HYPERLINK("http://www.sec.gov/Archives/edgar/data/1166365/0001166365-16-000017-index.html")</f>
        <v>http://www.sec.gov/Archives/edgar/data/1166365/0001166365-16-000017-index.html</v>
      </c>
    </row>
    <row r="3341" spans="1:6" x14ac:dyDescent="0.2">
      <c r="A3341" t="s">
        <v>2980</v>
      </c>
      <c r="B3341" s="1">
        <v>1169987</v>
      </c>
      <c r="C3341" s="1">
        <v>3826</v>
      </c>
      <c r="D3341" s="2">
        <v>42454</v>
      </c>
      <c r="E3341" s="1" t="s">
        <v>18</v>
      </c>
      <c r="F3341" t="str">
        <f>HYPERLINK("http://www.sec.gov/Archives/edgar/data/1169987/0001564590-16-015252-index.html")</f>
        <v>http://www.sec.gov/Archives/edgar/data/1169987/0001564590-16-015252-index.html</v>
      </c>
    </row>
    <row r="3342" spans="1:6" x14ac:dyDescent="0.2">
      <c r="A3342" t="s">
        <v>2981</v>
      </c>
      <c r="B3342" s="1">
        <v>1180571</v>
      </c>
      <c r="C3342" s="1">
        <v>6189</v>
      </c>
      <c r="D3342" s="2">
        <v>42454</v>
      </c>
      <c r="E3342" s="1" t="s">
        <v>18</v>
      </c>
      <c r="F3342" t="str">
        <f>HYPERLINK("http://www.sec.gov/Archives/edgar/data/1180571/0001144204-16-090259-index.html")</f>
        <v>http://www.sec.gov/Archives/edgar/data/1180571/0001144204-16-090259-index.html</v>
      </c>
    </row>
    <row r="3343" spans="1:6" x14ac:dyDescent="0.2">
      <c r="A3343" t="s">
        <v>2981</v>
      </c>
      <c r="B3343" s="1">
        <v>1180571</v>
      </c>
      <c r="C3343" s="1">
        <v>6189</v>
      </c>
      <c r="D3343" s="2">
        <v>42454</v>
      </c>
      <c r="E3343" s="1" t="s">
        <v>18</v>
      </c>
      <c r="F3343" t="str">
        <f>HYPERLINK("http://www.sec.gov/Archives/edgar/data/1180571/0001144204-16-090261-index.html")</f>
        <v>http://www.sec.gov/Archives/edgar/data/1180571/0001144204-16-090261-index.html</v>
      </c>
    </row>
    <row r="3344" spans="1:6" x14ac:dyDescent="0.2">
      <c r="A3344" t="s">
        <v>2981</v>
      </c>
      <c r="B3344" s="1">
        <v>1180571</v>
      </c>
      <c r="C3344" s="1">
        <v>6189</v>
      </c>
      <c r="D3344" s="2">
        <v>42454</v>
      </c>
      <c r="E3344" s="1" t="s">
        <v>18</v>
      </c>
      <c r="F3344" t="str">
        <f>HYPERLINK("http://www.sec.gov/Archives/edgar/data/1180571/0001144204-16-090263-index.html")</f>
        <v>http://www.sec.gov/Archives/edgar/data/1180571/0001144204-16-090263-index.html</v>
      </c>
    </row>
    <row r="3345" spans="1:6" x14ac:dyDescent="0.2">
      <c r="A3345" t="s">
        <v>2982</v>
      </c>
      <c r="B3345" s="1">
        <v>1276531</v>
      </c>
      <c r="C3345" s="1">
        <v>6794</v>
      </c>
      <c r="D3345" s="2">
        <v>42454</v>
      </c>
      <c r="E3345" s="1" t="s">
        <v>18</v>
      </c>
      <c r="F3345" t="str">
        <f>HYPERLINK("http://www.sec.gov/Archives/edgar/data/1276531/0001276531-16-000013-index.html")</f>
        <v>http://www.sec.gov/Archives/edgar/data/1276531/0001276531-16-000013-index.html</v>
      </c>
    </row>
    <row r="3346" spans="1:6" x14ac:dyDescent="0.2">
      <c r="A3346" t="s">
        <v>2983</v>
      </c>
      <c r="B3346" s="1">
        <v>1280263</v>
      </c>
      <c r="C3346" s="1">
        <v>3674</v>
      </c>
      <c r="D3346" s="2">
        <v>42454</v>
      </c>
      <c r="E3346" s="1" t="s">
        <v>18</v>
      </c>
      <c r="F3346" t="str">
        <f>HYPERLINK("http://www.sec.gov/Archives/edgar/data/1280263/0001564590-16-015290-index.html")</f>
        <v>http://www.sec.gov/Archives/edgar/data/1280263/0001564590-16-015290-index.html</v>
      </c>
    </row>
    <row r="3347" spans="1:6" x14ac:dyDescent="0.2">
      <c r="A3347" t="s">
        <v>2984</v>
      </c>
      <c r="B3347" s="1">
        <v>1285550</v>
      </c>
      <c r="C3347" s="1">
        <v>3841</v>
      </c>
      <c r="D3347" s="2">
        <v>42454</v>
      </c>
      <c r="E3347" s="1" t="s">
        <v>18</v>
      </c>
      <c r="F3347" t="str">
        <f>HYPERLINK("http://www.sec.gov/Archives/edgar/data/1285550/0001534424-16-000661-index.html")</f>
        <v>http://www.sec.gov/Archives/edgar/data/1285550/0001534424-16-000661-index.html</v>
      </c>
    </row>
    <row r="3348" spans="1:6" x14ac:dyDescent="0.2">
      <c r="A3348" t="s">
        <v>2985</v>
      </c>
      <c r="B3348" s="1">
        <v>1288855</v>
      </c>
      <c r="C3348" s="1">
        <v>6021</v>
      </c>
      <c r="D3348" s="2">
        <v>42454</v>
      </c>
      <c r="E3348" s="1" t="s">
        <v>18</v>
      </c>
      <c r="F3348" t="str">
        <f>HYPERLINK("http://www.sec.gov/Archives/edgar/data/1288855/0001387131-16-004703-index.html")</f>
        <v>http://www.sec.gov/Archives/edgar/data/1288855/0001387131-16-004703-index.html</v>
      </c>
    </row>
    <row r="3349" spans="1:6" x14ac:dyDescent="0.2">
      <c r="A3349" t="s">
        <v>2986</v>
      </c>
      <c r="B3349" s="1">
        <v>1301236</v>
      </c>
      <c r="C3349" s="1">
        <v>6798</v>
      </c>
      <c r="D3349" s="2">
        <v>42454</v>
      </c>
      <c r="E3349" s="1" t="s">
        <v>18</v>
      </c>
      <c r="F3349" t="str">
        <f>HYPERLINK("http://www.sec.gov/Archives/edgar/data/1301236/0001564590-16-015264-index.html")</f>
        <v>http://www.sec.gov/Archives/edgar/data/1301236/0001564590-16-015264-index.html</v>
      </c>
    </row>
    <row r="3350" spans="1:6" x14ac:dyDescent="0.2">
      <c r="A3350" t="s">
        <v>2987</v>
      </c>
      <c r="B3350" s="1">
        <v>1307752</v>
      </c>
      <c r="C3350" s="1">
        <v>3841</v>
      </c>
      <c r="D3350" s="2">
        <v>42454</v>
      </c>
      <c r="E3350" s="1" t="s">
        <v>18</v>
      </c>
      <c r="F3350" t="str">
        <f>HYPERLINK("http://www.sec.gov/Archives/edgar/data/1307752/0001144204-16-090445-index.html")</f>
        <v>http://www.sec.gov/Archives/edgar/data/1307752/0001144204-16-090445-index.html</v>
      </c>
    </row>
    <row r="3351" spans="1:6" x14ac:dyDescent="0.2">
      <c r="A3351" t="s">
        <v>2988</v>
      </c>
      <c r="B3351" s="1">
        <v>1311828</v>
      </c>
      <c r="C3351" s="1">
        <v>6021</v>
      </c>
      <c r="D3351" s="2">
        <v>42454</v>
      </c>
      <c r="E3351" s="1" t="s">
        <v>18</v>
      </c>
      <c r="F3351" t="str">
        <f>HYPERLINK("http://www.sec.gov/Archives/edgar/data/1311828/0001206774-16-005100-index.html")</f>
        <v>http://www.sec.gov/Archives/edgar/data/1311828/0001206774-16-005100-index.html</v>
      </c>
    </row>
    <row r="3352" spans="1:6" x14ac:dyDescent="0.2">
      <c r="A3352" t="s">
        <v>2989</v>
      </c>
      <c r="B3352" s="1">
        <v>1313536</v>
      </c>
      <c r="C3352" s="1">
        <v>7011</v>
      </c>
      <c r="D3352" s="2">
        <v>42454</v>
      </c>
      <c r="E3352" s="1" t="s">
        <v>18</v>
      </c>
      <c r="F3352" t="str">
        <f>HYPERLINK("http://www.sec.gov/Archives/edgar/data/1313536/0001564590-16-015264-index.html")</f>
        <v>http://www.sec.gov/Archives/edgar/data/1313536/0001564590-16-015264-index.html</v>
      </c>
    </row>
    <row r="3353" spans="1:6" x14ac:dyDescent="0.2">
      <c r="A3353" t="s">
        <v>2990</v>
      </c>
      <c r="B3353" s="1">
        <v>1313918</v>
      </c>
      <c r="C3353" s="1">
        <v>6199</v>
      </c>
      <c r="D3353" s="2">
        <v>42454</v>
      </c>
      <c r="E3353" s="1" t="s">
        <v>18</v>
      </c>
      <c r="F3353" t="str">
        <f>HYPERLINK("http://www.sec.gov/Archives/edgar/data/1313918/0001649709-16-000024-index.html")</f>
        <v>http://www.sec.gov/Archives/edgar/data/1313918/0001649709-16-000024-index.html</v>
      </c>
    </row>
    <row r="3354" spans="1:6" x14ac:dyDescent="0.2">
      <c r="A3354" t="s">
        <v>2991</v>
      </c>
      <c r="B3354" s="1">
        <v>1341318</v>
      </c>
      <c r="C3354" s="1">
        <v>6035</v>
      </c>
      <c r="D3354" s="2">
        <v>42454</v>
      </c>
      <c r="E3354" s="1" t="s">
        <v>18</v>
      </c>
      <c r="F3354" t="str">
        <f>HYPERLINK("http://www.sec.gov/Archives/edgar/data/1341318/0001341318-16-000066-index.html")</f>
        <v>http://www.sec.gov/Archives/edgar/data/1341318/0001341318-16-000066-index.html</v>
      </c>
    </row>
    <row r="3355" spans="1:6" x14ac:dyDescent="0.2">
      <c r="A3355" t="s">
        <v>2992</v>
      </c>
      <c r="B3355" s="1">
        <v>1342936</v>
      </c>
      <c r="C3355" s="1">
        <v>1311</v>
      </c>
      <c r="D3355" s="2">
        <v>42454</v>
      </c>
      <c r="E3355" s="1" t="s">
        <v>18</v>
      </c>
      <c r="F3355" t="str">
        <f>HYPERLINK("http://www.sec.gov/Archives/edgar/data/1342936/0001342936-16-000057-index.html")</f>
        <v>http://www.sec.gov/Archives/edgar/data/1342936/0001342936-16-000057-index.html</v>
      </c>
    </row>
    <row r="3356" spans="1:6" x14ac:dyDescent="0.2">
      <c r="A3356" t="s">
        <v>2993</v>
      </c>
      <c r="B3356" s="1">
        <v>1343034</v>
      </c>
      <c r="C3356" s="1">
        <v>6022</v>
      </c>
      <c r="D3356" s="2">
        <v>42454</v>
      </c>
      <c r="E3356" s="1" t="s">
        <v>18</v>
      </c>
      <c r="F3356" t="str">
        <f>HYPERLINK("http://www.sec.gov/Archives/edgar/data/1343034/0001437749-16-028405-index.html")</f>
        <v>http://www.sec.gov/Archives/edgar/data/1343034/0001437749-16-028405-index.html</v>
      </c>
    </row>
    <row r="3357" spans="1:6" x14ac:dyDescent="0.2">
      <c r="A3357" t="s">
        <v>2994</v>
      </c>
      <c r="B3357" s="1">
        <v>1353523</v>
      </c>
      <c r="C3357" s="1">
        <v>6022</v>
      </c>
      <c r="D3357" s="2">
        <v>42454</v>
      </c>
      <c r="E3357" s="1" t="s">
        <v>18</v>
      </c>
      <c r="F3357" t="str">
        <f>HYPERLINK("http://www.sec.gov/Archives/edgar/data/1353523/0001552781-16-001439-index.html")</f>
        <v>http://www.sec.gov/Archives/edgar/data/1353523/0001552781-16-001439-index.html</v>
      </c>
    </row>
    <row r="3358" spans="1:6" x14ac:dyDescent="0.2">
      <c r="A3358" t="s">
        <v>2995</v>
      </c>
      <c r="B3358" s="1">
        <v>1358356</v>
      </c>
      <c r="C3358" s="1">
        <v>6021</v>
      </c>
      <c r="D3358" s="2">
        <v>42454</v>
      </c>
      <c r="E3358" s="1" t="s">
        <v>18</v>
      </c>
      <c r="F3358" t="str">
        <f>HYPERLINK("http://www.sec.gov/Archives/edgar/data/1358356/0001437749-16-028431-index.html")</f>
        <v>http://www.sec.gov/Archives/edgar/data/1358356/0001437749-16-028431-index.html</v>
      </c>
    </row>
    <row r="3359" spans="1:6" x14ac:dyDescent="0.2">
      <c r="A3359" t="s">
        <v>2996</v>
      </c>
      <c r="B3359" s="1">
        <v>1366340</v>
      </c>
      <c r="C3359" s="1">
        <v>6794</v>
      </c>
      <c r="D3359" s="2">
        <v>42454</v>
      </c>
      <c r="E3359" s="1" t="s">
        <v>18</v>
      </c>
      <c r="F3359" t="str">
        <f>HYPERLINK("http://www.sec.gov/Archives/edgar/data/1366340/0001366340-16-000031-index.html")</f>
        <v>http://www.sec.gov/Archives/edgar/data/1366340/0001366340-16-000031-index.html</v>
      </c>
    </row>
    <row r="3360" spans="1:6" x14ac:dyDescent="0.2">
      <c r="A3360" t="s">
        <v>2997</v>
      </c>
      <c r="B3360" s="1">
        <v>1368993</v>
      </c>
      <c r="C3360" s="1">
        <v>3826</v>
      </c>
      <c r="D3360" s="2">
        <v>42454</v>
      </c>
      <c r="E3360" s="1" t="s">
        <v>18</v>
      </c>
      <c r="F3360" t="str">
        <f>HYPERLINK("http://www.sec.gov/Archives/edgar/data/1368993/0001368993-16-000086-index.html")</f>
        <v>http://www.sec.gov/Archives/edgar/data/1368993/0001368993-16-000086-index.html</v>
      </c>
    </row>
    <row r="3361" spans="1:6" x14ac:dyDescent="0.2">
      <c r="A3361" t="s">
        <v>2998</v>
      </c>
      <c r="B3361" s="1">
        <v>1376912</v>
      </c>
      <c r="C3361" s="1">
        <v>1311</v>
      </c>
      <c r="D3361" s="2">
        <v>42454</v>
      </c>
      <c r="E3361" s="1" t="s">
        <v>18</v>
      </c>
      <c r="F3361" t="str">
        <f>HYPERLINK("http://www.sec.gov/Archives/edgar/data/1376912/0001376912-16-000029-index.html")</f>
        <v>http://www.sec.gov/Archives/edgar/data/1376912/0001376912-16-000029-index.html</v>
      </c>
    </row>
    <row r="3362" spans="1:6" x14ac:dyDescent="0.2">
      <c r="A3362" t="s">
        <v>2999</v>
      </c>
      <c r="B3362" s="1">
        <v>1389772</v>
      </c>
      <c r="C3362" s="1">
        <v>6022</v>
      </c>
      <c r="D3362" s="2">
        <v>42454</v>
      </c>
      <c r="E3362" s="1" t="s">
        <v>18</v>
      </c>
      <c r="F3362" t="str">
        <f>HYPERLINK("http://www.sec.gov/Archives/edgar/data/1389772/0001564590-16-015282-index.html")</f>
        <v>http://www.sec.gov/Archives/edgar/data/1389772/0001564590-16-015282-index.html</v>
      </c>
    </row>
    <row r="3363" spans="1:6" x14ac:dyDescent="0.2">
      <c r="A3363" t="s">
        <v>3000</v>
      </c>
      <c r="B3363" s="1">
        <v>1392545</v>
      </c>
      <c r="C3363" s="1">
        <v>7372</v>
      </c>
      <c r="D3363" s="2">
        <v>42454</v>
      </c>
      <c r="E3363" s="1" t="s">
        <v>18</v>
      </c>
      <c r="F3363" t="str">
        <f>HYPERLINK("http://www.sec.gov/Archives/edgar/data/1392545/0000890163-16-000116-index.html")</f>
        <v>http://www.sec.gov/Archives/edgar/data/1392545/0000890163-16-000116-index.html</v>
      </c>
    </row>
    <row r="3364" spans="1:6" x14ac:dyDescent="0.2">
      <c r="A3364" t="s">
        <v>3001</v>
      </c>
      <c r="B3364" s="1">
        <v>1393020</v>
      </c>
      <c r="C3364" s="1">
        <v>3841</v>
      </c>
      <c r="D3364" s="2">
        <v>42454</v>
      </c>
      <c r="E3364" s="1" t="s">
        <v>18</v>
      </c>
      <c r="F3364" t="str">
        <f>HYPERLINK("http://www.sec.gov/Archives/edgar/data/1393020/0001564590-16-015302-index.html")</f>
        <v>http://www.sec.gov/Archives/edgar/data/1393020/0001564590-16-015302-index.html</v>
      </c>
    </row>
    <row r="3365" spans="1:6" x14ac:dyDescent="0.2">
      <c r="A3365" t="s">
        <v>3002</v>
      </c>
      <c r="B3365" s="1">
        <v>1394872</v>
      </c>
      <c r="C3365" s="1">
        <v>3585</v>
      </c>
      <c r="D3365" s="2">
        <v>42454</v>
      </c>
      <c r="E3365" s="1" t="s">
        <v>18</v>
      </c>
      <c r="F3365" t="str">
        <f>HYPERLINK("http://www.sec.gov/Archives/edgar/data/1394872/0001052918-16-000886-index.html")</f>
        <v>http://www.sec.gov/Archives/edgar/data/1394872/0001052918-16-000886-index.html</v>
      </c>
    </row>
    <row r="3366" spans="1:6" x14ac:dyDescent="0.2">
      <c r="A3366" t="s">
        <v>3003</v>
      </c>
      <c r="B3366" s="1">
        <v>1395317</v>
      </c>
      <c r="C3366" s="1">
        <v>3842</v>
      </c>
      <c r="D3366" s="2">
        <v>42454</v>
      </c>
      <c r="E3366" s="1" t="s">
        <v>18</v>
      </c>
      <c r="F3366" t="str">
        <f>HYPERLINK("http://www.sec.gov/Archives/edgar/data/1395317/0001564590-16-015274-index.html")</f>
        <v>http://www.sec.gov/Archives/edgar/data/1395317/0001564590-16-015274-index.html</v>
      </c>
    </row>
    <row r="3367" spans="1:6" x14ac:dyDescent="0.2">
      <c r="A3367" t="s">
        <v>3004</v>
      </c>
      <c r="B3367" s="1">
        <v>1399935</v>
      </c>
      <c r="C3367" s="1">
        <v>5600</v>
      </c>
      <c r="D3367" s="2">
        <v>42454</v>
      </c>
      <c r="E3367" s="1" t="s">
        <v>18</v>
      </c>
      <c r="F3367" t="str">
        <f>HYPERLINK("http://www.sec.gov/Archives/edgar/data/1399935/0001144204-16-090421-index.html")</f>
        <v>http://www.sec.gov/Archives/edgar/data/1399935/0001144204-16-090421-index.html</v>
      </c>
    </row>
    <row r="3368" spans="1:6" x14ac:dyDescent="0.2">
      <c r="A3368" t="s">
        <v>3005</v>
      </c>
      <c r="B3368" s="1">
        <v>1402328</v>
      </c>
      <c r="C3368" s="1">
        <v>8731</v>
      </c>
      <c r="D3368" s="2">
        <v>42454</v>
      </c>
      <c r="E3368" s="1" t="s">
        <v>18</v>
      </c>
      <c r="F3368" t="str">
        <f>HYPERLINK("http://www.sec.gov/Archives/edgar/data/1402328/0001354488-16-006700-index.html")</f>
        <v>http://www.sec.gov/Archives/edgar/data/1402328/0001354488-16-006700-index.html</v>
      </c>
    </row>
    <row r="3369" spans="1:6" x14ac:dyDescent="0.2">
      <c r="A3369" t="s">
        <v>3006</v>
      </c>
      <c r="B3369" s="1">
        <v>1407805</v>
      </c>
      <c r="C3369" s="1">
        <v>1311</v>
      </c>
      <c r="D3369" s="2">
        <v>42454</v>
      </c>
      <c r="E3369" s="1" t="s">
        <v>18</v>
      </c>
      <c r="F3369" t="str">
        <f>HYPERLINK("http://www.sec.gov/Archives/edgar/data/1407805/0001407805-16-000024-index.html")</f>
        <v>http://www.sec.gov/Archives/edgar/data/1407805/0001407805-16-000024-index.html</v>
      </c>
    </row>
    <row r="3370" spans="1:6" x14ac:dyDescent="0.2">
      <c r="A3370" t="s">
        <v>3007</v>
      </c>
      <c r="B3370" s="1">
        <v>1408100</v>
      </c>
      <c r="C3370" s="1">
        <v>6500</v>
      </c>
      <c r="D3370" s="2">
        <v>42454</v>
      </c>
      <c r="E3370" s="1" t="s">
        <v>42</v>
      </c>
      <c r="F3370" t="str">
        <f>HYPERLINK("http://www.sec.gov/Archives/edgar/data/1408100/0001408100-16-000281-index.html")</f>
        <v>http://www.sec.gov/Archives/edgar/data/1408100/0001408100-16-000281-index.html</v>
      </c>
    </row>
    <row r="3371" spans="1:6" x14ac:dyDescent="0.2">
      <c r="A3371" t="s">
        <v>3008</v>
      </c>
      <c r="B3371" s="1">
        <v>1437226</v>
      </c>
      <c r="C3371" s="1">
        <v>8742</v>
      </c>
      <c r="D3371" s="2">
        <v>42454</v>
      </c>
      <c r="E3371" s="1" t="s">
        <v>18</v>
      </c>
      <c r="F3371" t="str">
        <f>HYPERLINK("http://www.sec.gov/Archives/edgar/data/1437226/0001193125-16-517521-index.html")</f>
        <v>http://www.sec.gov/Archives/edgar/data/1437226/0001193125-16-517521-index.html</v>
      </c>
    </row>
    <row r="3372" spans="1:6" x14ac:dyDescent="0.2">
      <c r="A3372" t="s">
        <v>2889</v>
      </c>
      <c r="B3372" s="1">
        <v>1438672</v>
      </c>
      <c r="C3372" s="1">
        <v>7500</v>
      </c>
      <c r="D3372" s="2">
        <v>42454</v>
      </c>
      <c r="E3372" s="1" t="s">
        <v>18</v>
      </c>
      <c r="F3372" t="str">
        <f>HYPERLINK("http://www.sec.gov/Archives/edgar/data/1438672/0001078782-16-002463-index.html")</f>
        <v>http://www.sec.gov/Archives/edgar/data/1438672/0001078782-16-002463-index.html</v>
      </c>
    </row>
    <row r="3373" spans="1:6" x14ac:dyDescent="0.2">
      <c r="A3373" t="s">
        <v>2889</v>
      </c>
      <c r="B3373" s="1">
        <v>1438672</v>
      </c>
      <c r="C3373" s="1">
        <v>7500</v>
      </c>
      <c r="D3373" s="2">
        <v>42454</v>
      </c>
      <c r="E3373" s="1" t="s">
        <v>18</v>
      </c>
      <c r="F3373" t="str">
        <f>HYPERLINK("http://www.sec.gov/Archives/edgar/data/1438672/0001078782-16-002471-index.html")</f>
        <v>http://www.sec.gov/Archives/edgar/data/1438672/0001078782-16-002471-index.html</v>
      </c>
    </row>
    <row r="3374" spans="1:6" x14ac:dyDescent="0.2">
      <c r="A3374" t="s">
        <v>2889</v>
      </c>
      <c r="B3374" s="1">
        <v>1438672</v>
      </c>
      <c r="C3374" s="1">
        <v>7500</v>
      </c>
      <c r="D3374" s="2">
        <v>42454</v>
      </c>
      <c r="E3374" s="1" t="s">
        <v>18</v>
      </c>
      <c r="F3374" t="str">
        <f>HYPERLINK("http://www.sec.gov/Archives/edgar/data/1438672/0001078782-16-002479-index.html")</f>
        <v>http://www.sec.gov/Archives/edgar/data/1438672/0001078782-16-002479-index.html</v>
      </c>
    </row>
    <row r="3375" spans="1:6" x14ac:dyDescent="0.2">
      <c r="A3375" t="s">
        <v>2889</v>
      </c>
      <c r="B3375" s="1">
        <v>1438672</v>
      </c>
      <c r="C3375" s="1">
        <v>7500</v>
      </c>
      <c r="D3375" s="2">
        <v>42454</v>
      </c>
      <c r="E3375" s="1" t="s">
        <v>18</v>
      </c>
      <c r="F3375" t="str">
        <f>HYPERLINK("http://www.sec.gov/Archives/edgar/data/1438672/0001078782-16-002487-index.html")</f>
        <v>http://www.sec.gov/Archives/edgar/data/1438672/0001078782-16-002487-index.html</v>
      </c>
    </row>
    <row r="3376" spans="1:6" x14ac:dyDescent="0.2">
      <c r="A3376" t="s">
        <v>722</v>
      </c>
      <c r="B3376" s="1">
        <v>1459482</v>
      </c>
      <c r="C3376" s="1">
        <v>8200</v>
      </c>
      <c r="D3376" s="2">
        <v>42454</v>
      </c>
      <c r="E3376" s="1" t="s">
        <v>42</v>
      </c>
      <c r="F3376" t="str">
        <f>HYPERLINK("http://www.sec.gov/Archives/edgar/data/1459482/0001019687-16-005574-index.html")</f>
        <v>http://www.sec.gov/Archives/edgar/data/1459482/0001019687-16-005574-index.html</v>
      </c>
    </row>
    <row r="3377" spans="1:6" x14ac:dyDescent="0.2">
      <c r="A3377" t="s">
        <v>3009</v>
      </c>
      <c r="B3377" s="1">
        <v>1474432</v>
      </c>
      <c r="C3377" s="1">
        <v>3572</v>
      </c>
      <c r="D3377" s="2">
        <v>42454</v>
      </c>
      <c r="E3377" s="1" t="s">
        <v>18</v>
      </c>
      <c r="F3377" t="str">
        <f>HYPERLINK("http://www.sec.gov/Archives/edgar/data/1474432/0001564590-16-015322-index.html")</f>
        <v>http://www.sec.gov/Archives/edgar/data/1474432/0001564590-16-015322-index.html</v>
      </c>
    </row>
    <row r="3378" spans="1:6" x14ac:dyDescent="0.2">
      <c r="A3378" t="s">
        <v>3010</v>
      </c>
      <c r="B3378" s="1">
        <v>1484565</v>
      </c>
      <c r="C3378" s="1">
        <v>3845</v>
      </c>
      <c r="D3378" s="2">
        <v>42454</v>
      </c>
      <c r="E3378" s="1" t="s">
        <v>18</v>
      </c>
      <c r="F3378" t="str">
        <f>HYPERLINK("http://www.sec.gov/Archives/edgar/data/1484565/0001628280-16-013113-index.html")</f>
        <v>http://www.sec.gov/Archives/edgar/data/1484565/0001628280-16-013113-index.html</v>
      </c>
    </row>
    <row r="3379" spans="1:6" x14ac:dyDescent="0.2">
      <c r="A3379" t="s">
        <v>3011</v>
      </c>
      <c r="B3379" s="1">
        <v>1485003</v>
      </c>
      <c r="C3379" s="1">
        <v>2834</v>
      </c>
      <c r="D3379" s="2">
        <v>42454</v>
      </c>
      <c r="E3379" s="1" t="s">
        <v>18</v>
      </c>
      <c r="F3379" t="str">
        <f>HYPERLINK("http://www.sec.gov/Archives/edgar/data/1485003/0001485003-16-000068-index.html")</f>
        <v>http://www.sec.gov/Archives/edgar/data/1485003/0001485003-16-000068-index.html</v>
      </c>
    </row>
    <row r="3380" spans="1:6" x14ac:dyDescent="0.2">
      <c r="A3380" t="s">
        <v>3012</v>
      </c>
      <c r="B3380" s="1">
        <v>1487522</v>
      </c>
      <c r="C3380" s="1">
        <v>7372</v>
      </c>
      <c r="D3380" s="2">
        <v>42454</v>
      </c>
      <c r="E3380" s="1" t="s">
        <v>18</v>
      </c>
      <c r="F3380" t="str">
        <f>HYPERLINK("http://www.sec.gov/Archives/edgar/data/1487522/0001615774-16-004617-index.html")</f>
        <v>http://www.sec.gov/Archives/edgar/data/1487522/0001615774-16-004617-index.html</v>
      </c>
    </row>
    <row r="3381" spans="1:6" x14ac:dyDescent="0.2">
      <c r="A3381" t="s">
        <v>3013</v>
      </c>
      <c r="B3381" s="1">
        <v>1490630</v>
      </c>
      <c r="C3381" s="1">
        <v>1221</v>
      </c>
      <c r="D3381" s="2">
        <v>42454</v>
      </c>
      <c r="E3381" s="1" t="s">
        <v>18</v>
      </c>
      <c r="F3381" t="str">
        <f>HYPERLINK("http://www.sec.gov/Archives/edgar/data/1490630/0001047469-16-011594-index.html")</f>
        <v>http://www.sec.gov/Archives/edgar/data/1490630/0001047469-16-011594-index.html</v>
      </c>
    </row>
    <row r="3382" spans="1:6" x14ac:dyDescent="0.2">
      <c r="A3382" t="s">
        <v>3014</v>
      </c>
      <c r="B3382" s="1">
        <v>1502519</v>
      </c>
      <c r="C3382" s="1">
        <v>7359</v>
      </c>
      <c r="D3382" s="2">
        <v>42454</v>
      </c>
      <c r="E3382" s="1" t="s">
        <v>18</v>
      </c>
      <c r="F3382" t="str">
        <f>HYPERLINK("http://www.sec.gov/Archives/edgar/data/1502519/0001502519-16-000025-index.html")</f>
        <v>http://www.sec.gov/Archives/edgar/data/1502519/0001502519-16-000025-index.html</v>
      </c>
    </row>
    <row r="3383" spans="1:6" x14ac:dyDescent="0.2">
      <c r="A3383" t="s">
        <v>3015</v>
      </c>
      <c r="B3383" s="1">
        <v>1525759</v>
      </c>
      <c r="C3383" s="1">
        <v>6798</v>
      </c>
      <c r="D3383" s="2">
        <v>42454</v>
      </c>
      <c r="E3383" s="1" t="s">
        <v>18</v>
      </c>
      <c r="F3383" t="str">
        <f>HYPERLINK("http://www.sec.gov/Archives/edgar/data/1525759/0001193125-16-517972-index.html")</f>
        <v>http://www.sec.gov/Archives/edgar/data/1525759/0001193125-16-517972-index.html</v>
      </c>
    </row>
    <row r="3384" spans="1:6" x14ac:dyDescent="0.2">
      <c r="A3384" t="s">
        <v>3016</v>
      </c>
      <c r="B3384" s="1">
        <v>1526952</v>
      </c>
      <c r="C3384" s="1">
        <v>6036</v>
      </c>
      <c r="D3384" s="2">
        <v>42454</v>
      </c>
      <c r="E3384" s="1" t="s">
        <v>18</v>
      </c>
      <c r="F3384" t="str">
        <f>HYPERLINK("http://www.sec.gov/Archives/edgar/data/1526952/0001144204-16-090338-index.html")</f>
        <v>http://www.sec.gov/Archives/edgar/data/1526952/0001144204-16-090338-index.html</v>
      </c>
    </row>
    <row r="3385" spans="1:6" x14ac:dyDescent="0.2">
      <c r="A3385" t="s">
        <v>3017</v>
      </c>
      <c r="B3385" s="1">
        <v>1530219</v>
      </c>
      <c r="C3385" s="1">
        <v>6189</v>
      </c>
      <c r="D3385" s="2">
        <v>42454</v>
      </c>
      <c r="E3385" s="1" t="s">
        <v>18</v>
      </c>
      <c r="F3385" t="str">
        <f>HYPERLINK("http://www.sec.gov/Archives/edgar/data/1530219/0001193125-16-517820-index.html")</f>
        <v>http://www.sec.gov/Archives/edgar/data/1530219/0001193125-16-517820-index.html</v>
      </c>
    </row>
    <row r="3386" spans="1:6" x14ac:dyDescent="0.2">
      <c r="A3386" t="s">
        <v>3018</v>
      </c>
      <c r="B3386" s="1">
        <v>1530249</v>
      </c>
      <c r="C3386" s="1">
        <v>6036</v>
      </c>
      <c r="D3386" s="2">
        <v>42454</v>
      </c>
      <c r="E3386" s="1" t="s">
        <v>18</v>
      </c>
      <c r="F3386" t="str">
        <f>HYPERLINK("http://www.sec.gov/Archives/edgar/data/1530249/0000939057-16-000729-index.html")</f>
        <v>http://www.sec.gov/Archives/edgar/data/1530249/0000939057-16-000729-index.html</v>
      </c>
    </row>
    <row r="3387" spans="1:6" x14ac:dyDescent="0.2">
      <c r="A3387" t="s">
        <v>3019</v>
      </c>
      <c r="B3387" s="1">
        <v>1532595</v>
      </c>
      <c r="C3387" s="1">
        <v>7389</v>
      </c>
      <c r="D3387" s="2">
        <v>42454</v>
      </c>
      <c r="E3387" s="1" t="s">
        <v>18</v>
      </c>
      <c r="F3387" t="str">
        <f>HYPERLINK("http://www.sec.gov/Archives/edgar/data/1532595/0001354488-16-006687-index.html")</f>
        <v>http://www.sec.gov/Archives/edgar/data/1532595/0001354488-16-006687-index.html</v>
      </c>
    </row>
    <row r="3388" spans="1:6" x14ac:dyDescent="0.2">
      <c r="A3388" t="s">
        <v>3020</v>
      </c>
      <c r="B3388" s="1">
        <v>1535706</v>
      </c>
      <c r="C3388" s="1">
        <v>6189</v>
      </c>
      <c r="D3388" s="2">
        <v>42454</v>
      </c>
      <c r="E3388" s="1" t="s">
        <v>18</v>
      </c>
      <c r="F3388" t="str">
        <f>HYPERLINK("http://www.sec.gov/Archives/edgar/data/1535706/0001193125-16-518176-index.html")</f>
        <v>http://www.sec.gov/Archives/edgar/data/1535706/0001193125-16-518176-index.html</v>
      </c>
    </row>
    <row r="3389" spans="1:6" x14ac:dyDescent="0.2">
      <c r="A3389" t="s">
        <v>3021</v>
      </c>
      <c r="B3389" s="1">
        <v>1553758</v>
      </c>
      <c r="C3389" s="1">
        <v>6189</v>
      </c>
      <c r="D3389" s="2">
        <v>42454</v>
      </c>
      <c r="E3389" s="1" t="s">
        <v>18</v>
      </c>
      <c r="F3389" t="str">
        <f>HYPERLINK("http://www.sec.gov/Archives/edgar/data/1553758/0001144204-16-090308-index.html")</f>
        <v>http://www.sec.gov/Archives/edgar/data/1553758/0001144204-16-090308-index.html</v>
      </c>
    </row>
    <row r="3390" spans="1:6" x14ac:dyDescent="0.2">
      <c r="A3390" t="s">
        <v>2041</v>
      </c>
      <c r="B3390" s="1">
        <v>1553817</v>
      </c>
      <c r="C3390" s="1">
        <v>6189</v>
      </c>
      <c r="D3390" s="2">
        <v>42454</v>
      </c>
      <c r="E3390" s="1" t="s">
        <v>18</v>
      </c>
      <c r="F3390" t="str">
        <f>HYPERLINK("http://www.sec.gov/Archives/edgar/data/1553817/0001056404-16-003679-index.html")</f>
        <v>http://www.sec.gov/Archives/edgar/data/1553817/0001056404-16-003679-index.html</v>
      </c>
    </row>
    <row r="3391" spans="1:6" x14ac:dyDescent="0.2">
      <c r="A3391" t="s">
        <v>3022</v>
      </c>
      <c r="B3391" s="1">
        <v>1556541</v>
      </c>
      <c r="C3391" s="1">
        <v>6189</v>
      </c>
      <c r="D3391" s="2">
        <v>42454</v>
      </c>
      <c r="E3391" s="1" t="s">
        <v>18</v>
      </c>
      <c r="F3391" t="str">
        <f>HYPERLINK("http://www.sec.gov/Archives/edgar/data/1556541/0001144204-16-090259-index.html")</f>
        <v>http://www.sec.gov/Archives/edgar/data/1556541/0001144204-16-090259-index.html</v>
      </c>
    </row>
    <row r="3392" spans="1:6" x14ac:dyDescent="0.2">
      <c r="A3392" t="s">
        <v>3023</v>
      </c>
      <c r="B3392" s="1">
        <v>1560141</v>
      </c>
      <c r="C3392" s="1">
        <v>6189</v>
      </c>
      <c r="D3392" s="2">
        <v>42454</v>
      </c>
      <c r="E3392" s="1" t="s">
        <v>18</v>
      </c>
      <c r="F3392" t="str">
        <f>HYPERLINK("http://www.sec.gov/Archives/edgar/data/1560141/0001144204-16-090309-index.html")</f>
        <v>http://www.sec.gov/Archives/edgar/data/1560141/0001144204-16-090309-index.html</v>
      </c>
    </row>
    <row r="3393" spans="1:6" x14ac:dyDescent="0.2">
      <c r="A3393" t="s">
        <v>3024</v>
      </c>
      <c r="B3393" s="1">
        <v>1560456</v>
      </c>
      <c r="C3393" s="1">
        <v>6189</v>
      </c>
      <c r="D3393" s="2">
        <v>42454</v>
      </c>
      <c r="E3393" s="1" t="s">
        <v>18</v>
      </c>
      <c r="F3393" t="str">
        <f>HYPERLINK("http://www.sec.gov/Archives/edgar/data/1560456/0001539497-16-002668-index.html")</f>
        <v>http://www.sec.gov/Archives/edgar/data/1560456/0001539497-16-002668-index.html</v>
      </c>
    </row>
    <row r="3394" spans="1:6" x14ac:dyDescent="0.2">
      <c r="A3394" t="s">
        <v>3025</v>
      </c>
      <c r="B3394" s="1">
        <v>1561726</v>
      </c>
      <c r="C3394" s="1">
        <v>6189</v>
      </c>
      <c r="D3394" s="2">
        <v>42454</v>
      </c>
      <c r="E3394" s="1" t="s">
        <v>18</v>
      </c>
      <c r="F3394" t="str">
        <f>HYPERLINK("http://www.sec.gov/Archives/edgar/data/1561726/0001056404-16-003810-index.html")</f>
        <v>http://www.sec.gov/Archives/edgar/data/1561726/0001056404-16-003810-index.html</v>
      </c>
    </row>
    <row r="3395" spans="1:6" x14ac:dyDescent="0.2">
      <c r="A3395" t="s">
        <v>1230</v>
      </c>
      <c r="B3395" s="1">
        <v>1571238</v>
      </c>
      <c r="C3395" s="1">
        <v>6189</v>
      </c>
      <c r="D3395" s="2">
        <v>42454</v>
      </c>
      <c r="E3395" s="1" t="s">
        <v>18</v>
      </c>
      <c r="F3395" t="str">
        <f>HYPERLINK("http://www.sec.gov/Archives/edgar/data/1571238/0001539497-16-002675-index.html")</f>
        <v>http://www.sec.gov/Archives/edgar/data/1571238/0001539497-16-002675-index.html</v>
      </c>
    </row>
    <row r="3396" spans="1:6" x14ac:dyDescent="0.2">
      <c r="A3396" t="s">
        <v>3026</v>
      </c>
      <c r="B3396" s="1">
        <v>1576047</v>
      </c>
      <c r="C3396" s="1">
        <v>6189</v>
      </c>
      <c r="D3396" s="2">
        <v>42454</v>
      </c>
      <c r="E3396" s="1" t="s">
        <v>18</v>
      </c>
      <c r="F3396" t="str">
        <f>HYPERLINK("http://www.sec.gov/Archives/edgar/data/1576047/0001056404-16-003790-index.html")</f>
        <v>http://www.sec.gov/Archives/edgar/data/1576047/0001056404-16-003790-index.html</v>
      </c>
    </row>
    <row r="3397" spans="1:6" x14ac:dyDescent="0.2">
      <c r="A3397" t="s">
        <v>3027</v>
      </c>
      <c r="B3397" s="1">
        <v>1577190</v>
      </c>
      <c r="C3397" s="1">
        <v>6189</v>
      </c>
      <c r="D3397" s="2">
        <v>42454</v>
      </c>
      <c r="E3397" s="1" t="s">
        <v>18</v>
      </c>
      <c r="F3397" t="str">
        <f>HYPERLINK("http://www.sec.gov/Archives/edgar/data/1577190/0001144204-16-090310-index.html")</f>
        <v>http://www.sec.gov/Archives/edgar/data/1577190/0001144204-16-090310-index.html</v>
      </c>
    </row>
    <row r="3398" spans="1:6" x14ac:dyDescent="0.2">
      <c r="A3398" t="s">
        <v>3028</v>
      </c>
      <c r="B3398" s="1">
        <v>1579910</v>
      </c>
      <c r="C3398" s="1">
        <v>3674</v>
      </c>
      <c r="D3398" s="2">
        <v>42454</v>
      </c>
      <c r="E3398" s="1" t="s">
        <v>18</v>
      </c>
      <c r="F3398" t="str">
        <f>HYPERLINK("http://www.sec.gov/Archives/edgar/data/1579910/0001579910-16-000020-index.html")</f>
        <v>http://www.sec.gov/Archives/edgar/data/1579910/0001579910-16-000020-index.html</v>
      </c>
    </row>
    <row r="3399" spans="1:6" x14ac:dyDescent="0.2">
      <c r="A3399" t="s">
        <v>3029</v>
      </c>
      <c r="B3399" s="1">
        <v>1585898</v>
      </c>
      <c r="C3399" s="1">
        <v>6189</v>
      </c>
      <c r="D3399" s="2">
        <v>42454</v>
      </c>
      <c r="E3399" s="1" t="s">
        <v>18</v>
      </c>
      <c r="F3399" t="str">
        <f>HYPERLINK("http://www.sec.gov/Archives/edgar/data/1585898/0001144204-16-090305-index.html")</f>
        <v>http://www.sec.gov/Archives/edgar/data/1585898/0001144204-16-090305-index.html</v>
      </c>
    </row>
    <row r="3400" spans="1:6" x14ac:dyDescent="0.2">
      <c r="A3400" t="s">
        <v>3030</v>
      </c>
      <c r="B3400" s="1">
        <v>1586294</v>
      </c>
      <c r="C3400" s="1">
        <v>6189</v>
      </c>
      <c r="D3400" s="2">
        <v>42454</v>
      </c>
      <c r="E3400" s="1" t="s">
        <v>18</v>
      </c>
      <c r="F3400" t="str">
        <f>HYPERLINK("http://www.sec.gov/Archives/edgar/data/1586294/0001144204-16-090261-index.html")</f>
        <v>http://www.sec.gov/Archives/edgar/data/1586294/0001144204-16-090261-index.html</v>
      </c>
    </row>
    <row r="3401" spans="1:6" x14ac:dyDescent="0.2">
      <c r="A3401" t="s">
        <v>3031</v>
      </c>
      <c r="B3401" s="1">
        <v>1587234</v>
      </c>
      <c r="C3401" s="1">
        <v>6189</v>
      </c>
      <c r="D3401" s="2">
        <v>42454</v>
      </c>
      <c r="E3401" s="1" t="s">
        <v>18</v>
      </c>
      <c r="F3401" t="str">
        <f>HYPERLINK("http://www.sec.gov/Archives/edgar/data/1587234/0001539497-16-002674-index.html")</f>
        <v>http://www.sec.gov/Archives/edgar/data/1587234/0001539497-16-002674-index.html</v>
      </c>
    </row>
    <row r="3402" spans="1:6" x14ac:dyDescent="0.2">
      <c r="A3402" t="s">
        <v>3032</v>
      </c>
      <c r="B3402" s="1">
        <v>1587980</v>
      </c>
      <c r="C3402" s="1">
        <v>6189</v>
      </c>
      <c r="D3402" s="2">
        <v>42454</v>
      </c>
      <c r="E3402" s="1" t="s">
        <v>18</v>
      </c>
      <c r="F3402" t="str">
        <f>HYPERLINK("http://www.sec.gov/Archives/edgar/data/1587980/0001056404-16-003685-index.html")</f>
        <v>http://www.sec.gov/Archives/edgar/data/1587980/0001056404-16-003685-index.html</v>
      </c>
    </row>
    <row r="3403" spans="1:6" x14ac:dyDescent="0.2">
      <c r="A3403" t="s">
        <v>3033</v>
      </c>
      <c r="B3403" s="1">
        <v>1589632</v>
      </c>
      <c r="C3403" s="1">
        <v>6189</v>
      </c>
      <c r="D3403" s="2">
        <v>42454</v>
      </c>
      <c r="E3403" s="1" t="s">
        <v>18</v>
      </c>
      <c r="F3403" t="str">
        <f>HYPERLINK("http://www.sec.gov/Archives/edgar/data/1589632/0001144204-16-090311-index.html")</f>
        <v>http://www.sec.gov/Archives/edgar/data/1589632/0001144204-16-090311-index.html</v>
      </c>
    </row>
    <row r="3404" spans="1:6" x14ac:dyDescent="0.2">
      <c r="A3404" t="s">
        <v>3034</v>
      </c>
      <c r="B3404" s="1">
        <v>1589802</v>
      </c>
      <c r="C3404" s="1">
        <v>6189</v>
      </c>
      <c r="D3404" s="2">
        <v>42454</v>
      </c>
      <c r="E3404" s="1" t="s">
        <v>18</v>
      </c>
      <c r="F3404" t="str">
        <f>HYPERLINK("http://www.sec.gov/Archives/edgar/data/1589802/0001056404-16-003765-index.html")</f>
        <v>http://www.sec.gov/Archives/edgar/data/1589802/0001056404-16-003765-index.html</v>
      </c>
    </row>
    <row r="3405" spans="1:6" x14ac:dyDescent="0.2">
      <c r="A3405" t="s">
        <v>3035</v>
      </c>
      <c r="B3405" s="1">
        <v>1589803</v>
      </c>
      <c r="C3405" s="1">
        <v>6189</v>
      </c>
      <c r="D3405" s="2">
        <v>42454</v>
      </c>
      <c r="E3405" s="1" t="s">
        <v>18</v>
      </c>
      <c r="F3405" t="str">
        <f>HYPERLINK("http://www.sec.gov/Archives/edgar/data/1589803/0001056404-16-003805-index.html")</f>
        <v>http://www.sec.gov/Archives/edgar/data/1589803/0001056404-16-003805-index.html</v>
      </c>
    </row>
    <row r="3406" spans="1:6" x14ac:dyDescent="0.2">
      <c r="A3406" t="s">
        <v>3036</v>
      </c>
      <c r="B3406" s="1">
        <v>1592386</v>
      </c>
      <c r="C3406" s="1">
        <v>6211</v>
      </c>
      <c r="D3406" s="2">
        <v>42454</v>
      </c>
      <c r="E3406" s="1" t="s">
        <v>18</v>
      </c>
      <c r="F3406" t="str">
        <f>HYPERLINK("http://www.sec.gov/Archives/edgar/data/1592386/0001558370-16-004397-index.html")</f>
        <v>http://www.sec.gov/Archives/edgar/data/1592386/0001558370-16-004397-index.html</v>
      </c>
    </row>
    <row r="3407" spans="1:6" x14ac:dyDescent="0.2">
      <c r="A3407" t="s">
        <v>3037</v>
      </c>
      <c r="B3407" s="1">
        <v>1592745</v>
      </c>
      <c r="C3407" s="1">
        <v>6798</v>
      </c>
      <c r="D3407" s="2">
        <v>42454</v>
      </c>
      <c r="E3407" s="1" t="s">
        <v>18</v>
      </c>
      <c r="F3407" t="str">
        <f>HYPERLINK("http://www.sec.gov/Archives/edgar/data/1592745/0001564590-16-015296-index.html")</f>
        <v>http://www.sec.gov/Archives/edgar/data/1592745/0001564590-16-015296-index.html</v>
      </c>
    </row>
    <row r="3408" spans="1:6" x14ac:dyDescent="0.2">
      <c r="A3408" t="s">
        <v>3038</v>
      </c>
      <c r="B3408" s="1">
        <v>1593269</v>
      </c>
      <c r="C3408" s="1">
        <v>6189</v>
      </c>
      <c r="D3408" s="2">
        <v>42454</v>
      </c>
      <c r="E3408" s="1" t="s">
        <v>18</v>
      </c>
      <c r="F3408" t="str">
        <f>HYPERLINK("http://www.sec.gov/Archives/edgar/data/1593269/0001056404-16-003681-index.html")</f>
        <v>http://www.sec.gov/Archives/edgar/data/1593269/0001056404-16-003681-index.html</v>
      </c>
    </row>
    <row r="3409" spans="1:6" x14ac:dyDescent="0.2">
      <c r="A3409" t="s">
        <v>3039</v>
      </c>
      <c r="B3409" s="1">
        <v>1596958</v>
      </c>
      <c r="C3409" s="1">
        <v>6189</v>
      </c>
      <c r="D3409" s="2">
        <v>42454</v>
      </c>
      <c r="E3409" s="1" t="s">
        <v>18</v>
      </c>
      <c r="F3409" t="str">
        <f>HYPERLINK("http://www.sec.gov/Archives/edgar/data/1596958/0001056404-16-003753-index.html")</f>
        <v>http://www.sec.gov/Archives/edgar/data/1596958/0001056404-16-003753-index.html</v>
      </c>
    </row>
    <row r="3410" spans="1:6" x14ac:dyDescent="0.2">
      <c r="A3410" t="s">
        <v>3040</v>
      </c>
      <c r="B3410" s="1">
        <v>1599117</v>
      </c>
      <c r="C3410" s="1">
        <v>6799</v>
      </c>
      <c r="D3410" s="2">
        <v>42454</v>
      </c>
      <c r="E3410" s="1" t="s">
        <v>18</v>
      </c>
      <c r="F3410" t="str">
        <f>HYPERLINK("http://www.sec.gov/Archives/edgar/data/1599117/0001078782-16-002459-index.html")</f>
        <v>http://www.sec.gov/Archives/edgar/data/1599117/0001078782-16-002459-index.html</v>
      </c>
    </row>
    <row r="3411" spans="1:6" x14ac:dyDescent="0.2">
      <c r="A3411" t="s">
        <v>3041</v>
      </c>
      <c r="B3411" s="1">
        <v>1607641</v>
      </c>
      <c r="C3411" s="1">
        <v>6189</v>
      </c>
      <c r="D3411" s="2">
        <v>42454</v>
      </c>
      <c r="E3411" s="1" t="s">
        <v>18</v>
      </c>
      <c r="F3411" t="str">
        <f>HYPERLINK("http://www.sec.gov/Archives/edgar/data/1607641/0001056404-16-003802-index.html")</f>
        <v>http://www.sec.gov/Archives/edgar/data/1607641/0001056404-16-003802-index.html</v>
      </c>
    </row>
    <row r="3412" spans="1:6" x14ac:dyDescent="0.2">
      <c r="A3412" t="s">
        <v>3042</v>
      </c>
      <c r="B3412" s="1">
        <v>1610796</v>
      </c>
      <c r="C3412" s="1">
        <v>6189</v>
      </c>
      <c r="D3412" s="2">
        <v>42454</v>
      </c>
      <c r="E3412" s="1" t="s">
        <v>18</v>
      </c>
      <c r="F3412" t="str">
        <f>HYPERLINK("http://www.sec.gov/Archives/edgar/data/1610796/0001056404-16-003684-index.html")</f>
        <v>http://www.sec.gov/Archives/edgar/data/1610796/0001056404-16-003684-index.html</v>
      </c>
    </row>
    <row r="3413" spans="1:6" x14ac:dyDescent="0.2">
      <c r="A3413" t="s">
        <v>3043</v>
      </c>
      <c r="B3413" s="1">
        <v>1614033</v>
      </c>
      <c r="C3413" s="1">
        <v>6189</v>
      </c>
      <c r="D3413" s="2">
        <v>42454</v>
      </c>
      <c r="E3413" s="1" t="s">
        <v>18</v>
      </c>
      <c r="F3413" t="str">
        <f>HYPERLINK("http://www.sec.gov/Archives/edgar/data/1614033/0001056404-16-003695-index.html")</f>
        <v>http://www.sec.gov/Archives/edgar/data/1614033/0001056404-16-003695-index.html</v>
      </c>
    </row>
    <row r="3414" spans="1:6" x14ac:dyDescent="0.2">
      <c r="A3414" t="s">
        <v>2025</v>
      </c>
      <c r="B3414" s="1">
        <v>1616666</v>
      </c>
      <c r="C3414" s="1">
        <v>6189</v>
      </c>
      <c r="D3414" s="2">
        <v>42454</v>
      </c>
      <c r="E3414" s="1" t="s">
        <v>18</v>
      </c>
      <c r="F3414" t="str">
        <f>HYPERLINK("http://www.sec.gov/Archives/edgar/data/1616666/0001056404-16-003709-index.html")</f>
        <v>http://www.sec.gov/Archives/edgar/data/1616666/0001056404-16-003709-index.html</v>
      </c>
    </row>
    <row r="3415" spans="1:6" x14ac:dyDescent="0.2">
      <c r="A3415" t="s">
        <v>3044</v>
      </c>
      <c r="B3415" s="1">
        <v>1617759</v>
      </c>
      <c r="C3415" s="1">
        <v>6189</v>
      </c>
      <c r="D3415" s="2">
        <v>42454</v>
      </c>
      <c r="E3415" s="1" t="s">
        <v>18</v>
      </c>
      <c r="F3415" t="str">
        <f>HYPERLINK("http://www.sec.gov/Archives/edgar/data/1617759/0001144204-16-090263-index.html")</f>
        <v>http://www.sec.gov/Archives/edgar/data/1617759/0001144204-16-090263-index.html</v>
      </c>
    </row>
    <row r="3416" spans="1:6" x14ac:dyDescent="0.2">
      <c r="A3416" t="s">
        <v>3045</v>
      </c>
      <c r="B3416" s="1">
        <v>1618150</v>
      </c>
      <c r="C3416" s="1">
        <v>6189</v>
      </c>
      <c r="D3416" s="2">
        <v>42454</v>
      </c>
      <c r="E3416" s="1" t="s">
        <v>18</v>
      </c>
      <c r="F3416" t="str">
        <f>HYPERLINK("http://www.sec.gov/Archives/edgar/data/1618150/0001056404-16-003702-index.html")</f>
        <v>http://www.sec.gov/Archives/edgar/data/1618150/0001056404-16-003702-index.html</v>
      </c>
    </row>
    <row r="3417" spans="1:6" x14ac:dyDescent="0.2">
      <c r="A3417" t="s">
        <v>3046</v>
      </c>
      <c r="B3417" s="1">
        <v>1618509</v>
      </c>
      <c r="C3417" s="1">
        <v>6189</v>
      </c>
      <c r="D3417" s="2">
        <v>42454</v>
      </c>
      <c r="E3417" s="1" t="s">
        <v>18</v>
      </c>
      <c r="F3417" t="str">
        <f>HYPERLINK("http://www.sec.gov/Archives/edgar/data/1618509/0001144204-16-090306-index.html")</f>
        <v>http://www.sec.gov/Archives/edgar/data/1618509/0001144204-16-090306-index.html</v>
      </c>
    </row>
    <row r="3418" spans="1:6" x14ac:dyDescent="0.2">
      <c r="A3418" t="s">
        <v>3047</v>
      </c>
      <c r="B3418" s="1">
        <v>1618798</v>
      </c>
      <c r="C3418" s="1">
        <v>6035</v>
      </c>
      <c r="D3418" s="2">
        <v>42454</v>
      </c>
      <c r="E3418" s="1" t="s">
        <v>18</v>
      </c>
      <c r="F3418" t="str">
        <f>HYPERLINK("http://www.sec.gov/Archives/edgar/data/1618798/0001193125-16-517977-index.html")</f>
        <v>http://www.sec.gov/Archives/edgar/data/1618798/0001193125-16-517977-index.html</v>
      </c>
    </row>
    <row r="3419" spans="1:6" x14ac:dyDescent="0.2">
      <c r="A3419" t="s">
        <v>3048</v>
      </c>
      <c r="B3419" s="1">
        <v>1621379</v>
      </c>
      <c r="C3419" s="1">
        <v>6189</v>
      </c>
      <c r="D3419" s="2">
        <v>42454</v>
      </c>
      <c r="E3419" s="1" t="s">
        <v>18</v>
      </c>
      <c r="F3419" t="str">
        <f>HYPERLINK("http://www.sec.gov/Archives/edgar/data/1621379/0001056404-16-003689-index.html")</f>
        <v>http://www.sec.gov/Archives/edgar/data/1621379/0001056404-16-003689-index.html</v>
      </c>
    </row>
    <row r="3420" spans="1:6" x14ac:dyDescent="0.2">
      <c r="A3420" t="s">
        <v>3049</v>
      </c>
      <c r="B3420" s="1">
        <v>1621466</v>
      </c>
      <c r="C3420" s="1">
        <v>6189</v>
      </c>
      <c r="D3420" s="2">
        <v>42454</v>
      </c>
      <c r="E3420" s="1" t="s">
        <v>18</v>
      </c>
      <c r="F3420" t="str">
        <f>HYPERLINK("http://www.sec.gov/Archives/edgar/data/1621466/0001056404-16-003768-index.html")</f>
        <v>http://www.sec.gov/Archives/edgar/data/1621466/0001056404-16-003768-index.html</v>
      </c>
    </row>
    <row r="3421" spans="1:6" x14ac:dyDescent="0.2">
      <c r="A3421" t="s">
        <v>3050</v>
      </c>
      <c r="B3421" s="1">
        <v>1622413</v>
      </c>
      <c r="C3421" s="1">
        <v>6189</v>
      </c>
      <c r="D3421" s="2">
        <v>42454</v>
      </c>
      <c r="E3421" s="1" t="s">
        <v>18</v>
      </c>
      <c r="F3421" t="str">
        <f>HYPERLINK("http://www.sec.gov/Archives/edgar/data/1622413/0001056404-16-003690-index.html")</f>
        <v>http://www.sec.gov/Archives/edgar/data/1622413/0001056404-16-003690-index.html</v>
      </c>
    </row>
    <row r="3422" spans="1:6" x14ac:dyDescent="0.2">
      <c r="A3422" t="s">
        <v>3051</v>
      </c>
      <c r="B3422" s="1">
        <v>1622764</v>
      </c>
      <c r="C3422" s="1">
        <v>6189</v>
      </c>
      <c r="D3422" s="2">
        <v>42454</v>
      </c>
      <c r="E3422" s="1" t="s">
        <v>18</v>
      </c>
      <c r="F3422" t="str">
        <f>HYPERLINK("http://www.sec.gov/Archives/edgar/data/1622764/0001144204-16-090313-index.html")</f>
        <v>http://www.sec.gov/Archives/edgar/data/1622764/0001144204-16-090313-index.html</v>
      </c>
    </row>
    <row r="3423" spans="1:6" x14ac:dyDescent="0.2">
      <c r="A3423" t="s">
        <v>3052</v>
      </c>
      <c r="B3423" s="1">
        <v>1625123</v>
      </c>
      <c r="C3423" s="1">
        <v>6189</v>
      </c>
      <c r="D3423" s="2">
        <v>42454</v>
      </c>
      <c r="E3423" s="1" t="s">
        <v>18</v>
      </c>
      <c r="F3423" t="str">
        <f>HYPERLINK("http://www.sec.gov/Archives/edgar/data/1625123/0001056404-16-003703-index.html")</f>
        <v>http://www.sec.gov/Archives/edgar/data/1625123/0001056404-16-003703-index.html</v>
      </c>
    </row>
    <row r="3424" spans="1:6" x14ac:dyDescent="0.2">
      <c r="A3424" t="s">
        <v>3053</v>
      </c>
      <c r="B3424" s="1">
        <v>1628871</v>
      </c>
      <c r="C3424" s="1">
        <v>4700</v>
      </c>
      <c r="D3424" s="2">
        <v>42454</v>
      </c>
      <c r="E3424" s="1" t="s">
        <v>18</v>
      </c>
      <c r="F3424" t="str">
        <f>HYPERLINK("http://www.sec.gov/Archives/edgar/data/1628871/0001213900-16-011878-index.html")</f>
        <v>http://www.sec.gov/Archives/edgar/data/1628871/0001213900-16-011878-index.html</v>
      </c>
    </row>
    <row r="3425" spans="1:6" x14ac:dyDescent="0.2">
      <c r="A3425" t="s">
        <v>2028</v>
      </c>
      <c r="B3425" s="1">
        <v>1630513</v>
      </c>
      <c r="C3425" s="1">
        <v>6189</v>
      </c>
      <c r="D3425" s="2">
        <v>42454</v>
      </c>
      <c r="E3425" s="1" t="s">
        <v>18</v>
      </c>
      <c r="F3425" t="str">
        <f>HYPERLINK("http://www.sec.gov/Archives/edgar/data/1630513/0001056404-16-003705-index.html")</f>
        <v>http://www.sec.gov/Archives/edgar/data/1630513/0001056404-16-003705-index.html</v>
      </c>
    </row>
    <row r="3426" spans="1:6" x14ac:dyDescent="0.2">
      <c r="A3426" t="s">
        <v>3054</v>
      </c>
      <c r="B3426" s="1">
        <v>1633336</v>
      </c>
      <c r="C3426" s="1">
        <v>3433</v>
      </c>
      <c r="D3426" s="2">
        <v>42454</v>
      </c>
      <c r="E3426" s="1" t="s">
        <v>18</v>
      </c>
      <c r="F3426" t="str">
        <f>HYPERLINK("http://www.sec.gov/Archives/edgar/data/1633336/0001104659-16-107693-index.html")</f>
        <v>http://www.sec.gov/Archives/edgar/data/1633336/0001104659-16-107693-index.html</v>
      </c>
    </row>
    <row r="3427" spans="1:6" x14ac:dyDescent="0.2">
      <c r="A3427" t="s">
        <v>3055</v>
      </c>
      <c r="B3427" s="1">
        <v>1633533</v>
      </c>
      <c r="C3427" s="1">
        <v>6189</v>
      </c>
      <c r="D3427" s="2">
        <v>42454</v>
      </c>
      <c r="E3427" s="1" t="s">
        <v>18</v>
      </c>
      <c r="F3427" t="str">
        <f>HYPERLINK("http://www.sec.gov/Archives/edgar/data/1633533/0001056404-16-003754-index.html")</f>
        <v>http://www.sec.gov/Archives/edgar/data/1633533/0001056404-16-003754-index.html</v>
      </c>
    </row>
    <row r="3428" spans="1:6" x14ac:dyDescent="0.2">
      <c r="A3428" t="s">
        <v>3056</v>
      </c>
      <c r="B3428" s="1">
        <v>1634303</v>
      </c>
      <c r="C3428" s="1">
        <v>6189</v>
      </c>
      <c r="D3428" s="2">
        <v>42454</v>
      </c>
      <c r="E3428" s="1" t="s">
        <v>18</v>
      </c>
      <c r="F3428" t="str">
        <f>HYPERLINK("http://www.sec.gov/Archives/edgar/data/1634303/0001144204-16-090314-index.html")</f>
        <v>http://www.sec.gov/Archives/edgar/data/1634303/0001144204-16-090314-index.html</v>
      </c>
    </row>
    <row r="3429" spans="1:6" x14ac:dyDescent="0.2">
      <c r="A3429" t="s">
        <v>2000</v>
      </c>
      <c r="B3429" s="1">
        <v>1638227</v>
      </c>
      <c r="C3429" s="1">
        <v>6189</v>
      </c>
      <c r="D3429" s="2">
        <v>42454</v>
      </c>
      <c r="E3429" s="1" t="s">
        <v>18</v>
      </c>
      <c r="F3429" t="str">
        <f>HYPERLINK("http://www.sec.gov/Archives/edgar/data/1638227/0001056404-16-003699-index.html")</f>
        <v>http://www.sec.gov/Archives/edgar/data/1638227/0001056404-16-003699-index.html</v>
      </c>
    </row>
    <row r="3430" spans="1:6" x14ac:dyDescent="0.2">
      <c r="A3430" t="s">
        <v>2001</v>
      </c>
      <c r="B3430" s="1">
        <v>1638933</v>
      </c>
      <c r="C3430" s="1">
        <v>6189</v>
      </c>
      <c r="D3430" s="2">
        <v>42454</v>
      </c>
      <c r="E3430" s="1" t="s">
        <v>18</v>
      </c>
      <c r="F3430" t="str">
        <f>HYPERLINK("http://www.sec.gov/Archives/edgar/data/1638933/0001056404-16-003697-index.html")</f>
        <v>http://www.sec.gov/Archives/edgar/data/1638933/0001056404-16-003697-index.html</v>
      </c>
    </row>
    <row r="3431" spans="1:6" x14ac:dyDescent="0.2">
      <c r="A3431" t="s">
        <v>3057</v>
      </c>
      <c r="B3431" s="1">
        <v>1639694</v>
      </c>
      <c r="C3431" s="1">
        <v>6189</v>
      </c>
      <c r="D3431" s="2">
        <v>42454</v>
      </c>
      <c r="E3431" s="1" t="s">
        <v>18</v>
      </c>
      <c r="F3431" t="str">
        <f>HYPERLINK("http://www.sec.gov/Archives/edgar/data/1639694/0001539497-16-002669-index.html")</f>
        <v>http://www.sec.gov/Archives/edgar/data/1639694/0001539497-16-002669-index.html</v>
      </c>
    </row>
    <row r="3432" spans="1:6" x14ac:dyDescent="0.2">
      <c r="A3432" t="s">
        <v>2002</v>
      </c>
      <c r="B3432" s="1">
        <v>1643550</v>
      </c>
      <c r="C3432" s="1">
        <v>6189</v>
      </c>
      <c r="D3432" s="2">
        <v>42454</v>
      </c>
      <c r="E3432" s="1" t="s">
        <v>18</v>
      </c>
      <c r="F3432" t="str">
        <f>HYPERLINK("http://www.sec.gov/Archives/edgar/data/1643550/0001056404-16-003707-index.html")</f>
        <v>http://www.sec.gov/Archives/edgar/data/1643550/0001056404-16-003707-index.html</v>
      </c>
    </row>
    <row r="3433" spans="1:6" x14ac:dyDescent="0.2">
      <c r="A3433" t="s">
        <v>3058</v>
      </c>
      <c r="B3433" s="1">
        <v>1644697</v>
      </c>
      <c r="C3433" s="1">
        <v>6189</v>
      </c>
      <c r="D3433" s="2">
        <v>42454</v>
      </c>
      <c r="E3433" s="1" t="s">
        <v>18</v>
      </c>
      <c r="F3433" t="str">
        <f>HYPERLINK("http://www.sec.gov/Archives/edgar/data/1644697/0001056404-16-003693-index.html")</f>
        <v>http://www.sec.gov/Archives/edgar/data/1644697/0001056404-16-003693-index.html</v>
      </c>
    </row>
    <row r="3434" spans="1:6" x14ac:dyDescent="0.2">
      <c r="A3434" t="s">
        <v>3059</v>
      </c>
      <c r="B3434" s="1">
        <v>1647854</v>
      </c>
      <c r="C3434" s="1">
        <v>6189</v>
      </c>
      <c r="D3434" s="2">
        <v>42454</v>
      </c>
      <c r="E3434" s="1" t="s">
        <v>18</v>
      </c>
      <c r="F3434" t="str">
        <f>HYPERLINK("http://www.sec.gov/Archives/edgar/data/1647854/0001144204-16-090307-index.html")</f>
        <v>http://www.sec.gov/Archives/edgar/data/1647854/0001144204-16-090307-index.html</v>
      </c>
    </row>
    <row r="3435" spans="1:6" x14ac:dyDescent="0.2">
      <c r="A3435" t="s">
        <v>3060</v>
      </c>
      <c r="B3435" s="1">
        <v>1649709</v>
      </c>
      <c r="C3435" s="1">
        <v>6199</v>
      </c>
      <c r="D3435" s="2">
        <v>42454</v>
      </c>
      <c r="E3435" s="1" t="s">
        <v>18</v>
      </c>
      <c r="F3435" t="str">
        <f>HYPERLINK("http://www.sec.gov/Archives/edgar/data/1649709/0001649709-16-000024-index.html")</f>
        <v>http://www.sec.gov/Archives/edgar/data/1649709/0001649709-16-000024-index.html</v>
      </c>
    </row>
    <row r="3436" spans="1:6" x14ac:dyDescent="0.2">
      <c r="A3436" t="s">
        <v>3061</v>
      </c>
      <c r="B3436" s="1">
        <v>1652031</v>
      </c>
      <c r="C3436" s="1">
        <v>6189</v>
      </c>
      <c r="D3436" s="2">
        <v>42454</v>
      </c>
      <c r="E3436" s="1" t="s">
        <v>18</v>
      </c>
      <c r="F3436" t="str">
        <f>HYPERLINK("http://www.sec.gov/Archives/edgar/data/1652031/0001539497-16-002671-index.html")</f>
        <v>http://www.sec.gov/Archives/edgar/data/1652031/0001539497-16-002671-index.html</v>
      </c>
    </row>
    <row r="3437" spans="1:6" x14ac:dyDescent="0.2">
      <c r="A3437" t="s">
        <v>3062</v>
      </c>
      <c r="B3437" s="1">
        <v>1652672</v>
      </c>
      <c r="C3437" s="1">
        <v>6189</v>
      </c>
      <c r="D3437" s="2">
        <v>42454</v>
      </c>
      <c r="E3437" s="1" t="s">
        <v>18</v>
      </c>
      <c r="F3437" t="str">
        <f>HYPERLINK("http://www.sec.gov/Archives/edgar/data/1652672/0001539497-16-002664-index.html")</f>
        <v>http://www.sec.gov/Archives/edgar/data/1652672/0001539497-16-002664-index.html</v>
      </c>
    </row>
    <row r="3438" spans="1:6" x14ac:dyDescent="0.2">
      <c r="A3438" t="s">
        <v>3063</v>
      </c>
      <c r="B3438" s="1">
        <v>1652884</v>
      </c>
      <c r="C3438" s="1">
        <v>6189</v>
      </c>
      <c r="D3438" s="2">
        <v>42454</v>
      </c>
      <c r="E3438" s="1" t="s">
        <v>18</v>
      </c>
      <c r="F3438" t="str">
        <f>HYPERLINK("http://www.sec.gov/Archives/edgar/data/1652884/0001056404-16-003763-index.html")</f>
        <v>http://www.sec.gov/Archives/edgar/data/1652884/0001056404-16-003763-index.html</v>
      </c>
    </row>
    <row r="3439" spans="1:6" x14ac:dyDescent="0.2">
      <c r="A3439" t="s">
        <v>3064</v>
      </c>
      <c r="B3439" s="1">
        <v>1653542</v>
      </c>
      <c r="C3439" s="1">
        <v>6189</v>
      </c>
      <c r="D3439" s="2">
        <v>42454</v>
      </c>
      <c r="E3439" s="1" t="s">
        <v>18</v>
      </c>
      <c r="F3439" t="str">
        <f>HYPERLINK("http://www.sec.gov/Archives/edgar/data/1653542/0001539497-16-002662-index.html")</f>
        <v>http://www.sec.gov/Archives/edgar/data/1653542/0001539497-16-002662-index.html</v>
      </c>
    </row>
    <row r="3440" spans="1:6" x14ac:dyDescent="0.2">
      <c r="A3440" t="s">
        <v>3065</v>
      </c>
      <c r="B3440" s="1">
        <v>1654734</v>
      </c>
      <c r="C3440" s="1">
        <v>6189</v>
      </c>
      <c r="D3440" s="2">
        <v>42454</v>
      </c>
      <c r="E3440" s="1" t="s">
        <v>18</v>
      </c>
      <c r="F3440" t="str">
        <f>HYPERLINK("http://www.sec.gov/Archives/edgar/data/1654734/0001056404-16-003746-index.html")</f>
        <v>http://www.sec.gov/Archives/edgar/data/1654734/0001056404-16-003746-index.html</v>
      </c>
    </row>
    <row r="3441" spans="1:6" x14ac:dyDescent="0.2">
      <c r="A3441" t="s">
        <v>3066</v>
      </c>
      <c r="B3441" s="1">
        <v>1656839</v>
      </c>
      <c r="C3441" s="1">
        <v>6189</v>
      </c>
      <c r="D3441" s="2">
        <v>42454</v>
      </c>
      <c r="E3441" s="1" t="s">
        <v>18</v>
      </c>
      <c r="F3441" t="str">
        <f>HYPERLINK("http://www.sec.gov/Archives/edgar/data/1656839/0001056404-16-003692-index.html")</f>
        <v>http://www.sec.gov/Archives/edgar/data/1656839/0001056404-16-003692-index.html</v>
      </c>
    </row>
    <row r="3442" spans="1:6" x14ac:dyDescent="0.2">
      <c r="A3442" t="s">
        <v>3067</v>
      </c>
      <c r="B3442" s="1">
        <v>1659329</v>
      </c>
      <c r="C3442" s="1">
        <v>6189</v>
      </c>
      <c r="D3442" s="2">
        <v>42454</v>
      </c>
      <c r="E3442" s="1" t="s">
        <v>18</v>
      </c>
      <c r="F3442" t="str">
        <f>HYPERLINK("http://www.sec.gov/Archives/edgar/data/1659329/0001056404-16-003779-index.html")</f>
        <v>http://www.sec.gov/Archives/edgar/data/1659329/0001056404-16-003779-index.html</v>
      </c>
    </row>
    <row r="3443" spans="1:6" x14ac:dyDescent="0.2">
      <c r="A3443" t="s">
        <v>3068</v>
      </c>
      <c r="B3443" s="1">
        <v>319016</v>
      </c>
      <c r="C3443" s="1">
        <v>5047</v>
      </c>
      <c r="D3443" s="2">
        <v>42454</v>
      </c>
      <c r="E3443" s="1" t="s">
        <v>18</v>
      </c>
      <c r="F3443" t="str">
        <f>HYPERLINK("http://www.sec.gov/Archives/edgar/data/319016/0001477932-16-009171-index.html")</f>
        <v>http://www.sec.gov/Archives/edgar/data/319016/0001477932-16-009171-index.html</v>
      </c>
    </row>
    <row r="3444" spans="1:6" x14ac:dyDescent="0.2">
      <c r="A3444" t="s">
        <v>1109</v>
      </c>
      <c r="B3444" s="1">
        <v>4187</v>
      </c>
      <c r="C3444" s="1">
        <v>4950</v>
      </c>
      <c r="D3444" s="2">
        <v>42454</v>
      </c>
      <c r="E3444" s="1" t="s">
        <v>18</v>
      </c>
      <c r="F3444" t="str">
        <f>HYPERLINK("http://www.sec.gov/Archives/edgar/data/4187/0000004187-16-000034-index.html")</f>
        <v>http://www.sec.gov/Archives/edgar/data/4187/0000004187-16-000034-index.html</v>
      </c>
    </row>
    <row r="3445" spans="1:6" x14ac:dyDescent="0.2">
      <c r="A3445" t="s">
        <v>3069</v>
      </c>
      <c r="B3445" s="1">
        <v>718413</v>
      </c>
      <c r="C3445" s="1">
        <v>6021</v>
      </c>
      <c r="D3445" s="2">
        <v>42454</v>
      </c>
      <c r="E3445" s="1" t="s">
        <v>18</v>
      </c>
      <c r="F3445" t="str">
        <f>HYPERLINK("http://www.sec.gov/Archives/edgar/data/718413/0001354488-16-006702-index.html")</f>
        <v>http://www.sec.gov/Archives/edgar/data/718413/0001354488-16-006702-index.html</v>
      </c>
    </row>
    <row r="3446" spans="1:6" x14ac:dyDescent="0.2">
      <c r="A3446" t="s">
        <v>3070</v>
      </c>
      <c r="B3446" s="1">
        <v>733076</v>
      </c>
      <c r="C3446" s="1">
        <v>6311</v>
      </c>
      <c r="D3446" s="2">
        <v>42454</v>
      </c>
      <c r="E3446" s="1" t="s">
        <v>18</v>
      </c>
      <c r="F3446" t="str">
        <f>HYPERLINK("http://www.sec.gov/Archives/edgar/data/733076/0000937834-16-000092-index.html")</f>
        <v>http://www.sec.gov/Archives/edgar/data/733076/0000937834-16-000092-index.html</v>
      </c>
    </row>
    <row r="3447" spans="1:6" x14ac:dyDescent="0.2">
      <c r="A3447" t="s">
        <v>3071</v>
      </c>
      <c r="B3447" s="1">
        <v>744187</v>
      </c>
      <c r="C3447" s="1">
        <v>2860</v>
      </c>
      <c r="D3447" s="2">
        <v>42454</v>
      </c>
      <c r="E3447" s="1" t="s">
        <v>18</v>
      </c>
      <c r="F3447" t="str">
        <f>HYPERLINK("http://www.sec.gov/Archives/edgar/data/744187/0000930413-16-006190-index.html")</f>
        <v>http://www.sec.gov/Archives/edgar/data/744187/0000930413-16-006190-index.html</v>
      </c>
    </row>
    <row r="3448" spans="1:6" x14ac:dyDescent="0.2">
      <c r="A3448" t="s">
        <v>3072</v>
      </c>
      <c r="B3448" s="1">
        <v>754813</v>
      </c>
      <c r="C3448" s="1">
        <v>5912</v>
      </c>
      <c r="D3448" s="2">
        <v>42454</v>
      </c>
      <c r="E3448" s="1" t="s">
        <v>18</v>
      </c>
      <c r="F3448" t="str">
        <f>HYPERLINK("http://www.sec.gov/Archives/edgar/data/754813/0001117768-16-001010-index.html")</f>
        <v>http://www.sec.gov/Archives/edgar/data/754813/0001117768-16-001010-index.html</v>
      </c>
    </row>
    <row r="3449" spans="1:6" x14ac:dyDescent="0.2">
      <c r="A3449" t="s">
        <v>3073</v>
      </c>
      <c r="B3449" s="1">
        <v>78239</v>
      </c>
      <c r="C3449" s="1">
        <v>2320</v>
      </c>
      <c r="D3449" s="2">
        <v>42454</v>
      </c>
      <c r="E3449" s="1" t="s">
        <v>18</v>
      </c>
      <c r="F3449" t="str">
        <f>HYPERLINK("http://www.sec.gov/Archives/edgar/data/78239/0000078239-16-000062-index.html")</f>
        <v>http://www.sec.gov/Archives/edgar/data/78239/0000078239-16-000062-index.html</v>
      </c>
    </row>
    <row r="3450" spans="1:6" x14ac:dyDescent="0.2">
      <c r="A3450" t="s">
        <v>3074</v>
      </c>
      <c r="B3450" s="1">
        <v>784199</v>
      </c>
      <c r="C3450" s="1">
        <v>3841</v>
      </c>
      <c r="D3450" s="2">
        <v>42454</v>
      </c>
      <c r="E3450" s="1" t="s">
        <v>42</v>
      </c>
      <c r="F3450" t="str">
        <f>HYPERLINK("http://www.sec.gov/Archives/edgar/data/784199/0001193125-16-518038-index.html")</f>
        <v>http://www.sec.gov/Archives/edgar/data/784199/0001193125-16-518038-index.html</v>
      </c>
    </row>
    <row r="3451" spans="1:6" x14ac:dyDescent="0.2">
      <c r="A3451" t="s">
        <v>3075</v>
      </c>
      <c r="B3451" s="1">
        <v>825788</v>
      </c>
      <c r="C3451" s="1">
        <v>6500</v>
      </c>
      <c r="D3451" s="2">
        <v>42454</v>
      </c>
      <c r="E3451" s="1" t="s">
        <v>18</v>
      </c>
      <c r="F3451" t="str">
        <f>HYPERLINK("http://www.sec.gov/Archives/edgar/data/825788/0001493152-16-008282-index.html")</f>
        <v>http://www.sec.gov/Archives/edgar/data/825788/0001493152-16-008282-index.html</v>
      </c>
    </row>
    <row r="3452" spans="1:6" x14ac:dyDescent="0.2">
      <c r="A3452" t="s">
        <v>3076</v>
      </c>
      <c r="B3452" s="1">
        <v>828146</v>
      </c>
      <c r="C3452" s="1">
        <v>3577</v>
      </c>
      <c r="D3452" s="2">
        <v>42454</v>
      </c>
      <c r="E3452" s="1" t="s">
        <v>18</v>
      </c>
      <c r="F3452" t="str">
        <f>HYPERLINK("http://www.sec.gov/Archives/edgar/data/828146/0001558370-16-004390-index.html")</f>
        <v>http://www.sec.gov/Archives/edgar/data/828146/0001558370-16-004390-index.html</v>
      </c>
    </row>
    <row r="3453" spans="1:6" x14ac:dyDescent="0.2">
      <c r="A3453" t="s">
        <v>3077</v>
      </c>
      <c r="B3453" s="1">
        <v>832480</v>
      </c>
      <c r="C3453" s="1">
        <v>6311</v>
      </c>
      <c r="D3453" s="2">
        <v>42454</v>
      </c>
      <c r="E3453" s="1" t="s">
        <v>18</v>
      </c>
      <c r="F3453" t="str">
        <f>HYPERLINK("http://www.sec.gov/Archives/edgar/data/832480/0000832480-16-000038-index.html")</f>
        <v>http://www.sec.gov/Archives/edgar/data/832480/0000832480-16-000038-index.html</v>
      </c>
    </row>
    <row r="3454" spans="1:6" x14ac:dyDescent="0.2">
      <c r="A3454" t="s">
        <v>3078</v>
      </c>
      <c r="B3454" s="1">
        <v>866439</v>
      </c>
      <c r="C3454" s="1">
        <v>7372</v>
      </c>
      <c r="D3454" s="2">
        <v>42454</v>
      </c>
      <c r="E3454" s="1" t="s">
        <v>18</v>
      </c>
      <c r="F3454" t="str">
        <f>HYPERLINK("http://www.sec.gov/Archives/edgar/data/866439/0001019687-16-005572-index.html")</f>
        <v>http://www.sec.gov/Archives/edgar/data/866439/0001019687-16-005572-index.html</v>
      </c>
    </row>
    <row r="3455" spans="1:6" x14ac:dyDescent="0.2">
      <c r="A3455" t="s">
        <v>3079</v>
      </c>
      <c r="B3455" s="1">
        <v>884217</v>
      </c>
      <c r="C3455" s="1">
        <v>5600</v>
      </c>
      <c r="D3455" s="2">
        <v>42454</v>
      </c>
      <c r="E3455" s="1" t="s">
        <v>18</v>
      </c>
      <c r="F3455" t="str">
        <f>HYPERLINK("http://www.sec.gov/Archives/edgar/data/884217/0001047469-16-011596-index.html")</f>
        <v>http://www.sec.gov/Archives/edgar/data/884217/0001047469-16-011596-index.html</v>
      </c>
    </row>
    <row r="3456" spans="1:6" x14ac:dyDescent="0.2">
      <c r="A3456" t="s">
        <v>3080</v>
      </c>
      <c r="B3456" s="1">
        <v>908259</v>
      </c>
      <c r="C3456" s="1">
        <v>2836</v>
      </c>
      <c r="D3456" s="2">
        <v>42454</v>
      </c>
      <c r="E3456" s="1" t="s">
        <v>18</v>
      </c>
      <c r="F3456" t="str">
        <f>HYPERLINK("http://www.sec.gov/Archives/edgar/data/908259/0001193125-16-518083-index.html")</f>
        <v>http://www.sec.gov/Archives/edgar/data/908259/0001193125-16-518083-index.html</v>
      </c>
    </row>
    <row r="3457" spans="1:6" x14ac:dyDescent="0.2">
      <c r="A3457" t="s">
        <v>3081</v>
      </c>
      <c r="B3457" s="1">
        <v>912463</v>
      </c>
      <c r="C3457" s="1">
        <v>2340</v>
      </c>
      <c r="D3457" s="2">
        <v>42454</v>
      </c>
      <c r="E3457" s="1" t="s">
        <v>18</v>
      </c>
      <c r="F3457" t="str">
        <f>HYPERLINK("http://www.sec.gov/Archives/edgar/data/912463/0000912463-16-000061-index.html")</f>
        <v>http://www.sec.gov/Archives/edgar/data/912463/0000912463-16-000061-index.html</v>
      </c>
    </row>
    <row r="3458" spans="1:6" x14ac:dyDescent="0.2">
      <c r="A3458" t="s">
        <v>3082</v>
      </c>
      <c r="B3458" s="1">
        <v>925741</v>
      </c>
      <c r="C3458" s="1">
        <v>3842</v>
      </c>
      <c r="D3458" s="2">
        <v>42454</v>
      </c>
      <c r="E3458" s="1" t="s">
        <v>18</v>
      </c>
      <c r="F3458" t="str">
        <f>HYPERLINK("http://www.sec.gov/Archives/edgar/data/925741/0001136261-16-000427-index.html")</f>
        <v>http://www.sec.gov/Archives/edgar/data/925741/0001136261-16-000427-index.html</v>
      </c>
    </row>
    <row r="3459" spans="1:6" x14ac:dyDescent="0.2">
      <c r="A3459" t="s">
        <v>3083</v>
      </c>
      <c r="B3459" s="1">
        <v>937834</v>
      </c>
      <c r="C3459" s="1">
        <v>6311</v>
      </c>
      <c r="D3459" s="2">
        <v>42454</v>
      </c>
      <c r="E3459" s="1" t="s">
        <v>18</v>
      </c>
      <c r="F3459" t="str">
        <f>HYPERLINK("http://www.sec.gov/Archives/edgar/data/937834/0000937834-16-000091-index.html")</f>
        <v>http://www.sec.gov/Archives/edgar/data/937834/0000937834-16-000091-index.html</v>
      </c>
    </row>
    <row r="3460" spans="1:6" x14ac:dyDescent="0.2">
      <c r="A3460" t="s">
        <v>3084</v>
      </c>
      <c r="B3460" s="1">
        <v>944480</v>
      </c>
      <c r="C3460" s="1">
        <v>7372</v>
      </c>
      <c r="D3460" s="2">
        <v>42454</v>
      </c>
      <c r="E3460" s="1" t="s">
        <v>18</v>
      </c>
      <c r="F3460" t="str">
        <f>HYPERLINK("http://www.sec.gov/Archives/edgar/data/944480/0000944480-16-000097-index.html")</f>
        <v>http://www.sec.gov/Archives/edgar/data/944480/0000944480-16-000097-index.html</v>
      </c>
    </row>
    <row r="3461" spans="1:6" x14ac:dyDescent="0.2">
      <c r="A3461" t="s">
        <v>3085</v>
      </c>
      <c r="B3461" s="1">
        <v>1005414</v>
      </c>
      <c r="C3461" s="1">
        <v>5945</v>
      </c>
      <c r="D3461" s="2">
        <v>42453</v>
      </c>
      <c r="E3461" s="1" t="s">
        <v>18</v>
      </c>
      <c r="F3461" t="str">
        <f>HYPERLINK("http://www.sec.gov/Archives/edgar/data/1005414/0001005414-16-000080-index.html")</f>
        <v>http://www.sec.gov/Archives/edgar/data/1005414/0001005414-16-000080-index.html</v>
      </c>
    </row>
    <row r="3462" spans="1:6" x14ac:dyDescent="0.2">
      <c r="A3462" t="s">
        <v>3086</v>
      </c>
      <c r="B3462" s="1">
        <v>101295</v>
      </c>
      <c r="C3462" s="1">
        <v>2844</v>
      </c>
      <c r="D3462" s="2">
        <v>42453</v>
      </c>
      <c r="E3462" s="1" t="s">
        <v>18</v>
      </c>
      <c r="F3462" t="str">
        <f>HYPERLINK("http://www.sec.gov/Archives/edgar/data/101295/0001171843-16-008781-index.html")</f>
        <v>http://www.sec.gov/Archives/edgar/data/101295/0001171843-16-008781-index.html</v>
      </c>
    </row>
    <row r="3463" spans="1:6" x14ac:dyDescent="0.2">
      <c r="A3463" t="s">
        <v>3087</v>
      </c>
      <c r="B3463" s="1">
        <v>1023860</v>
      </c>
      <c r="C3463" s="1">
        <v>6022</v>
      </c>
      <c r="D3463" s="2">
        <v>42453</v>
      </c>
      <c r="E3463" s="1" t="s">
        <v>18</v>
      </c>
      <c r="F3463" t="str">
        <f>HYPERLINK("http://www.sec.gov/Archives/edgar/data/1023860/0001174947-16-002333-index.html")</f>
        <v>http://www.sec.gov/Archives/edgar/data/1023860/0001174947-16-002333-index.html</v>
      </c>
    </row>
    <row r="3464" spans="1:6" x14ac:dyDescent="0.2">
      <c r="A3464" t="s">
        <v>3088</v>
      </c>
      <c r="B3464" s="1">
        <v>1025877</v>
      </c>
      <c r="C3464" s="1">
        <v>6022</v>
      </c>
      <c r="D3464" s="2">
        <v>42453</v>
      </c>
      <c r="E3464" s="1" t="s">
        <v>18</v>
      </c>
      <c r="F3464" t="str">
        <f>HYPERLINK("http://www.sec.gov/Archives/edgar/data/1025877/0001144204-16-089991-index.html")</f>
        <v>http://www.sec.gov/Archives/edgar/data/1025877/0001144204-16-089991-index.html</v>
      </c>
    </row>
    <row r="3465" spans="1:6" x14ac:dyDescent="0.2">
      <c r="A3465" t="s">
        <v>3089</v>
      </c>
      <c r="B3465" s="1">
        <v>1038277</v>
      </c>
      <c r="C3465" s="1">
        <v>3823</v>
      </c>
      <c r="D3465" s="2">
        <v>42453</v>
      </c>
      <c r="E3465" s="1" t="s">
        <v>18</v>
      </c>
      <c r="F3465" t="str">
        <f>HYPERLINK("http://www.sec.gov/Archives/edgar/data/1038277/0001515971-16-000459-index.html")</f>
        <v>http://www.sec.gov/Archives/edgar/data/1038277/0001515971-16-000459-index.html</v>
      </c>
    </row>
    <row r="3466" spans="1:6" x14ac:dyDescent="0.2">
      <c r="A3466" t="s">
        <v>3090</v>
      </c>
      <c r="B3466" s="1">
        <v>1041859</v>
      </c>
      <c r="C3466" s="1">
        <v>5651</v>
      </c>
      <c r="D3466" s="2">
        <v>42453</v>
      </c>
      <c r="E3466" s="1" t="s">
        <v>18</v>
      </c>
      <c r="F3466" t="str">
        <f>HYPERLINK("http://www.sec.gov/Archives/edgar/data/1041859/0001628280-16-013022-index.html")</f>
        <v>http://www.sec.gov/Archives/edgar/data/1041859/0001628280-16-013022-index.html</v>
      </c>
    </row>
    <row r="3467" spans="1:6" x14ac:dyDescent="0.2">
      <c r="A3467" t="s">
        <v>3091</v>
      </c>
      <c r="B3467" s="1">
        <v>1047881</v>
      </c>
      <c r="C3467" s="1">
        <v>5130</v>
      </c>
      <c r="D3467" s="2">
        <v>42453</v>
      </c>
      <c r="E3467" s="1" t="s">
        <v>18</v>
      </c>
      <c r="F3467" t="str">
        <f>HYPERLINK("http://www.sec.gov/Archives/edgar/data/1047881/0001437749-16-028354-index.html")</f>
        <v>http://www.sec.gov/Archives/edgar/data/1047881/0001437749-16-028354-index.html</v>
      </c>
    </row>
    <row r="3468" spans="1:6" x14ac:dyDescent="0.2">
      <c r="A3468" t="s">
        <v>3092</v>
      </c>
      <c r="B3468" s="1">
        <v>1073475</v>
      </c>
      <c r="C3468" s="1">
        <v>6021</v>
      </c>
      <c r="D3468" s="2">
        <v>42453</v>
      </c>
      <c r="E3468" s="1" t="s">
        <v>18</v>
      </c>
      <c r="F3468" t="str">
        <f>HYPERLINK("http://www.sec.gov/Archives/edgar/data/1073475/0001104659-16-107398-index.html")</f>
        <v>http://www.sec.gov/Archives/edgar/data/1073475/0001104659-16-107398-index.html</v>
      </c>
    </row>
    <row r="3469" spans="1:6" x14ac:dyDescent="0.2">
      <c r="A3469" t="s">
        <v>3093</v>
      </c>
      <c r="B3469" s="1">
        <v>1081078</v>
      </c>
      <c r="C3469" s="1">
        <v>3674</v>
      </c>
      <c r="D3469" s="2">
        <v>42453</v>
      </c>
      <c r="E3469" s="1" t="s">
        <v>42</v>
      </c>
      <c r="F3469" t="str">
        <f>HYPERLINK("http://www.sec.gov/Archives/edgar/data/1081078/0001193125-16-517031-index.html")</f>
        <v>http://www.sec.gov/Archives/edgar/data/1081078/0001193125-16-517031-index.html</v>
      </c>
    </row>
    <row r="3470" spans="1:6" x14ac:dyDescent="0.2">
      <c r="A3470" t="s">
        <v>3094</v>
      </c>
      <c r="B3470" s="1">
        <v>1083522</v>
      </c>
      <c r="C3470" s="1">
        <v>2080</v>
      </c>
      <c r="D3470" s="2">
        <v>42453</v>
      </c>
      <c r="E3470" s="1" t="s">
        <v>18</v>
      </c>
      <c r="F3470" t="str">
        <f>HYPERLINK("http://www.sec.gov/Archives/edgar/data/1083522/0001083522-16-000081-index.html")</f>
        <v>http://www.sec.gov/Archives/edgar/data/1083522/0001083522-16-000081-index.html</v>
      </c>
    </row>
    <row r="3471" spans="1:6" x14ac:dyDescent="0.2">
      <c r="A3471" t="s">
        <v>3095</v>
      </c>
      <c r="B3471" s="1">
        <v>1089907</v>
      </c>
      <c r="C3471" s="1">
        <v>6159</v>
      </c>
      <c r="D3471" s="2">
        <v>42453</v>
      </c>
      <c r="E3471" s="1" t="s">
        <v>18</v>
      </c>
      <c r="F3471" t="str">
        <f>HYPERLINK("http://www.sec.gov/Archives/edgar/data/1089907/0001552781-16-001431-index.html")</f>
        <v>http://www.sec.gov/Archives/edgar/data/1089907/0001552781-16-001431-index.html</v>
      </c>
    </row>
    <row r="3472" spans="1:6" x14ac:dyDescent="0.2">
      <c r="A3472" t="s">
        <v>3096</v>
      </c>
      <c r="B3472" s="1">
        <v>1132105</v>
      </c>
      <c r="C3472" s="1">
        <v>5940</v>
      </c>
      <c r="D3472" s="2">
        <v>42453</v>
      </c>
      <c r="E3472" s="1" t="s">
        <v>18</v>
      </c>
      <c r="F3472" t="str">
        <f>HYPERLINK("http://www.sec.gov/Archives/edgar/data/1132105/0001564590-16-015203-index.html")</f>
        <v>http://www.sec.gov/Archives/edgar/data/1132105/0001564590-16-015203-index.html</v>
      </c>
    </row>
    <row r="3473" spans="1:6" x14ac:dyDescent="0.2">
      <c r="A3473" t="s">
        <v>3097</v>
      </c>
      <c r="B3473" s="1">
        <v>1134765</v>
      </c>
      <c r="C3473" s="1">
        <v>2833</v>
      </c>
      <c r="D3473" s="2">
        <v>42453</v>
      </c>
      <c r="E3473" s="1" t="s">
        <v>18</v>
      </c>
      <c r="F3473" t="str">
        <f>HYPERLINK("http://www.sec.gov/Archives/edgar/data/1134765/0001415889-16-005263-index.html")</f>
        <v>http://www.sec.gov/Archives/edgar/data/1134765/0001415889-16-005263-index.html</v>
      </c>
    </row>
    <row r="3474" spans="1:6" x14ac:dyDescent="0.2">
      <c r="A3474" t="s">
        <v>3098</v>
      </c>
      <c r="B3474" s="1">
        <v>1140102</v>
      </c>
      <c r="C3474" s="1">
        <v>7363</v>
      </c>
      <c r="D3474" s="2">
        <v>42453</v>
      </c>
      <c r="E3474" s="1" t="s">
        <v>18</v>
      </c>
      <c r="F3474" t="str">
        <f>HYPERLINK("http://www.sec.gov/Archives/edgar/data/1140102/0001354488-16-006682-index.html")</f>
        <v>http://www.sec.gov/Archives/edgar/data/1140102/0001354488-16-006682-index.html</v>
      </c>
    </row>
    <row r="3475" spans="1:6" x14ac:dyDescent="0.2">
      <c r="A3475" t="s">
        <v>3099</v>
      </c>
      <c r="B3475" s="1">
        <v>1164255</v>
      </c>
      <c r="C3475" s="1">
        <v>7380</v>
      </c>
      <c r="D3475" s="2">
        <v>42453</v>
      </c>
      <c r="E3475" s="1" t="s">
        <v>18</v>
      </c>
      <c r="F3475" t="str">
        <f>HYPERLINK("http://www.sec.gov/Archives/edgar/data/1164255/0001164255-16-000059-index.html")</f>
        <v>http://www.sec.gov/Archives/edgar/data/1164255/0001164255-16-000059-index.html</v>
      </c>
    </row>
    <row r="3476" spans="1:6" x14ac:dyDescent="0.2">
      <c r="A3476" t="s">
        <v>3100</v>
      </c>
      <c r="B3476" s="1">
        <v>1171014</v>
      </c>
      <c r="C3476" s="1">
        <v>5812</v>
      </c>
      <c r="D3476" s="2">
        <v>42453</v>
      </c>
      <c r="E3476" s="1" t="s">
        <v>18</v>
      </c>
      <c r="F3476" t="str">
        <f>HYPERLINK("http://www.sec.gov/Archives/edgar/data/1171014/0001567619-16-002083-index.html")</f>
        <v>http://www.sec.gov/Archives/edgar/data/1171014/0001567619-16-002083-index.html</v>
      </c>
    </row>
    <row r="3477" spans="1:6" x14ac:dyDescent="0.2">
      <c r="A3477" t="s">
        <v>3101</v>
      </c>
      <c r="B3477" s="1">
        <v>1172706</v>
      </c>
      <c r="C3477" s="1">
        <v>2200</v>
      </c>
      <c r="D3477" s="2">
        <v>42453</v>
      </c>
      <c r="E3477" s="1" t="s">
        <v>18</v>
      </c>
      <c r="F3477" t="str">
        <f>HYPERLINK("http://www.sec.gov/Archives/edgar/data/1172706/0001076542-16-000239-index.html")</f>
        <v>http://www.sec.gov/Archives/edgar/data/1172706/0001076542-16-000239-index.html</v>
      </c>
    </row>
    <row r="3478" spans="1:6" x14ac:dyDescent="0.2">
      <c r="A3478" t="s">
        <v>3102</v>
      </c>
      <c r="B3478" s="1">
        <v>1175442</v>
      </c>
      <c r="C3478" s="1">
        <v>6211</v>
      </c>
      <c r="D3478" s="2">
        <v>42453</v>
      </c>
      <c r="E3478" s="1" t="s">
        <v>18</v>
      </c>
      <c r="F3478" t="str">
        <f>HYPERLINK("http://www.sec.gov/Archives/edgar/data/1175442/0001213900-16-011853-index.html")</f>
        <v>http://www.sec.gov/Archives/edgar/data/1175442/0001213900-16-011853-index.html</v>
      </c>
    </row>
    <row r="3479" spans="1:6" x14ac:dyDescent="0.2">
      <c r="A3479" t="s">
        <v>3103</v>
      </c>
      <c r="B3479" s="1">
        <v>1177609</v>
      </c>
      <c r="C3479" s="1">
        <v>5331</v>
      </c>
      <c r="D3479" s="2">
        <v>42453</v>
      </c>
      <c r="E3479" s="1" t="s">
        <v>18</v>
      </c>
      <c r="F3479" t="str">
        <f>HYPERLINK("http://www.sec.gov/Archives/edgar/data/1177609/0001628280-16-012961-index.html")</f>
        <v>http://www.sec.gov/Archives/edgar/data/1177609/0001628280-16-012961-index.html</v>
      </c>
    </row>
    <row r="3480" spans="1:6" x14ac:dyDescent="0.2">
      <c r="A3480" t="s">
        <v>1605</v>
      </c>
      <c r="B3480" s="1">
        <v>1211211</v>
      </c>
      <c r="C3480" s="1">
        <v>7310</v>
      </c>
      <c r="D3480" s="2">
        <v>42453</v>
      </c>
      <c r="E3480" s="1" t="s">
        <v>18</v>
      </c>
      <c r="F3480" t="str">
        <f>HYPERLINK("http://www.sec.gov/Archives/edgar/data/1211211/0001642863-16-000013-index.html")</f>
        <v>http://www.sec.gov/Archives/edgar/data/1211211/0001642863-16-000013-index.html</v>
      </c>
    </row>
    <row r="3481" spans="1:6" x14ac:dyDescent="0.2">
      <c r="A3481" t="s">
        <v>3104</v>
      </c>
      <c r="B3481" s="1">
        <v>1263762</v>
      </c>
      <c r="C3481" s="1">
        <v>6022</v>
      </c>
      <c r="D3481" s="2">
        <v>42453</v>
      </c>
      <c r="E3481" s="1" t="s">
        <v>18</v>
      </c>
      <c r="F3481" t="str">
        <f>HYPERLINK("http://www.sec.gov/Archives/edgar/data/1263762/0001144204-16-090135-index.html")</f>
        <v>http://www.sec.gov/Archives/edgar/data/1263762/0001144204-16-090135-index.html</v>
      </c>
    </row>
    <row r="3482" spans="1:6" x14ac:dyDescent="0.2">
      <c r="A3482" t="s">
        <v>3105</v>
      </c>
      <c r="B3482" s="1">
        <v>1279715</v>
      </c>
      <c r="C3482" s="1">
        <v>6282</v>
      </c>
      <c r="D3482" s="2">
        <v>42453</v>
      </c>
      <c r="E3482" s="1" t="s">
        <v>18</v>
      </c>
      <c r="F3482" t="str">
        <f>HYPERLINK("http://www.sec.gov/Archives/edgar/data/1279715/0001214659-16-010450-index.html")</f>
        <v>http://www.sec.gov/Archives/edgar/data/1279715/0001214659-16-010450-index.html</v>
      </c>
    </row>
    <row r="3483" spans="1:6" x14ac:dyDescent="0.2">
      <c r="A3483" t="s">
        <v>3106</v>
      </c>
      <c r="B3483" s="1">
        <v>1283582</v>
      </c>
      <c r="C3483" s="1">
        <v>6021</v>
      </c>
      <c r="D3483" s="2">
        <v>42453</v>
      </c>
      <c r="E3483" s="1" t="s">
        <v>18</v>
      </c>
      <c r="F3483" t="str">
        <f>HYPERLINK("http://www.sec.gov/Archives/edgar/data/1283582/0001571049-16-013321-index.html")</f>
        <v>http://www.sec.gov/Archives/edgar/data/1283582/0001571049-16-013321-index.html</v>
      </c>
    </row>
    <row r="3484" spans="1:6" x14ac:dyDescent="0.2">
      <c r="A3484" t="s">
        <v>3107</v>
      </c>
      <c r="B3484" s="1">
        <v>1296884</v>
      </c>
      <c r="C3484" s="1">
        <v>6798</v>
      </c>
      <c r="D3484" s="2">
        <v>42453</v>
      </c>
      <c r="E3484" s="1" t="s">
        <v>18</v>
      </c>
      <c r="F3484" t="str">
        <f>HYPERLINK("http://www.sec.gov/Archives/edgar/data/1296884/0001144204-16-090151-index.html")</f>
        <v>http://www.sec.gov/Archives/edgar/data/1296884/0001144204-16-090151-index.html</v>
      </c>
    </row>
    <row r="3485" spans="1:6" x14ac:dyDescent="0.2">
      <c r="A3485" t="s">
        <v>3108</v>
      </c>
      <c r="B3485" s="1">
        <v>1305773</v>
      </c>
      <c r="C3485" s="1">
        <v>3842</v>
      </c>
      <c r="D3485" s="2">
        <v>42453</v>
      </c>
      <c r="E3485" s="1" t="s">
        <v>18</v>
      </c>
      <c r="F3485" t="str">
        <f>HYPERLINK("http://www.sec.gov/Archives/edgar/data/1305773/0001628280-16-013018-index.html")</f>
        <v>http://www.sec.gov/Archives/edgar/data/1305773/0001628280-16-013018-index.html</v>
      </c>
    </row>
    <row r="3486" spans="1:6" x14ac:dyDescent="0.2">
      <c r="A3486" t="s">
        <v>3109</v>
      </c>
      <c r="B3486" s="1">
        <v>1319947</v>
      </c>
      <c r="C3486" s="1">
        <v>5661</v>
      </c>
      <c r="D3486" s="2">
        <v>42453</v>
      </c>
      <c r="E3486" s="1" t="s">
        <v>18</v>
      </c>
      <c r="F3486" t="str">
        <f>HYPERLINK("http://www.sec.gov/Archives/edgar/data/1319947/0001319947-16-000053-index.html")</f>
        <v>http://www.sec.gov/Archives/edgar/data/1319947/0001319947-16-000053-index.html</v>
      </c>
    </row>
    <row r="3487" spans="1:6" x14ac:dyDescent="0.2">
      <c r="A3487" t="s">
        <v>1061</v>
      </c>
      <c r="B3487" s="1">
        <v>1321228</v>
      </c>
      <c r="C3487" s="1">
        <v>6513</v>
      </c>
      <c r="D3487" s="2">
        <v>42453</v>
      </c>
      <c r="E3487" s="1" t="s">
        <v>18</v>
      </c>
      <c r="F3487" t="str">
        <f>HYPERLINK("http://www.sec.gov/Archives/edgar/data/1321228/0001354488-16-006679-index.html")</f>
        <v>http://www.sec.gov/Archives/edgar/data/1321228/0001354488-16-006679-index.html</v>
      </c>
    </row>
    <row r="3488" spans="1:6" x14ac:dyDescent="0.2">
      <c r="A3488" t="s">
        <v>3110</v>
      </c>
      <c r="B3488" s="1">
        <v>1348649</v>
      </c>
      <c r="C3488" s="1">
        <v>2834</v>
      </c>
      <c r="D3488" s="2">
        <v>42453</v>
      </c>
      <c r="E3488" s="1" t="s">
        <v>18</v>
      </c>
      <c r="F3488" t="str">
        <f>HYPERLINK("http://www.sec.gov/Archives/edgar/data/1348649/0001564590-16-015194-index.html")</f>
        <v>http://www.sec.gov/Archives/edgar/data/1348649/0001564590-16-015194-index.html</v>
      </c>
    </row>
    <row r="3489" spans="1:6" x14ac:dyDescent="0.2">
      <c r="A3489" t="s">
        <v>3111</v>
      </c>
      <c r="B3489" s="1">
        <v>1357115</v>
      </c>
      <c r="C3489" s="1">
        <v>3669</v>
      </c>
      <c r="D3489" s="2">
        <v>42453</v>
      </c>
      <c r="E3489" s="1" t="s">
        <v>18</v>
      </c>
      <c r="F3489" t="str">
        <f>HYPERLINK("http://www.sec.gov/Archives/edgar/data/1357115/0001354488-16-006677-index.html")</f>
        <v>http://www.sec.gov/Archives/edgar/data/1357115/0001354488-16-006677-index.html</v>
      </c>
    </row>
    <row r="3490" spans="1:6" x14ac:dyDescent="0.2">
      <c r="A3490" t="s">
        <v>3112</v>
      </c>
      <c r="B3490" s="1">
        <v>1396877</v>
      </c>
      <c r="C3490" s="1">
        <v>6221</v>
      </c>
      <c r="D3490" s="2">
        <v>42453</v>
      </c>
      <c r="E3490" s="1" t="s">
        <v>18</v>
      </c>
      <c r="F3490" t="str">
        <f>HYPERLINK("http://www.sec.gov/Archives/edgar/data/1396877/0001144204-16-090060-index.html")</f>
        <v>http://www.sec.gov/Archives/edgar/data/1396877/0001144204-16-090060-index.html</v>
      </c>
    </row>
    <row r="3491" spans="1:6" x14ac:dyDescent="0.2">
      <c r="A3491" t="s">
        <v>3113</v>
      </c>
      <c r="B3491" s="1">
        <v>1402281</v>
      </c>
      <c r="C3491" s="1">
        <v>1381</v>
      </c>
      <c r="D3491" s="2">
        <v>42453</v>
      </c>
      <c r="E3491" s="1" t="s">
        <v>18</v>
      </c>
      <c r="F3491" t="str">
        <f>HYPERLINK("http://www.sec.gov/Archives/edgar/data/1402281/0001402281-16-000077-index.html")</f>
        <v>http://www.sec.gov/Archives/edgar/data/1402281/0001402281-16-000077-index.html</v>
      </c>
    </row>
    <row r="3492" spans="1:6" x14ac:dyDescent="0.2">
      <c r="A3492" t="s">
        <v>3114</v>
      </c>
      <c r="B3492" s="1">
        <v>1405513</v>
      </c>
      <c r="C3492" s="1">
        <v>6221</v>
      </c>
      <c r="D3492" s="2">
        <v>42453</v>
      </c>
      <c r="E3492" s="1" t="s">
        <v>18</v>
      </c>
      <c r="F3492" t="str">
        <f>HYPERLINK("http://www.sec.gov/Archives/edgar/data/1405513/0001144204-16-090059-index.html")</f>
        <v>http://www.sec.gov/Archives/edgar/data/1405513/0001144204-16-090059-index.html</v>
      </c>
    </row>
    <row r="3493" spans="1:6" x14ac:dyDescent="0.2">
      <c r="A3493" t="s">
        <v>3115</v>
      </c>
      <c r="B3493" s="1">
        <v>1407878</v>
      </c>
      <c r="C3493" s="1">
        <v>4953</v>
      </c>
      <c r="D3493" s="2">
        <v>42453</v>
      </c>
      <c r="E3493" s="1" t="s">
        <v>18</v>
      </c>
      <c r="F3493" t="str">
        <f>HYPERLINK("http://www.sec.gov/Archives/edgar/data/1407878/0001445866-16-001750-index.html")</f>
        <v>http://www.sec.gov/Archives/edgar/data/1407878/0001445866-16-001750-index.html</v>
      </c>
    </row>
    <row r="3494" spans="1:6" x14ac:dyDescent="0.2">
      <c r="A3494" t="s">
        <v>3116</v>
      </c>
      <c r="B3494" s="1">
        <v>1436975</v>
      </c>
      <c r="C3494" s="1">
        <v>6798</v>
      </c>
      <c r="D3494" s="2">
        <v>42453</v>
      </c>
      <c r="E3494" s="1" t="s">
        <v>18</v>
      </c>
      <c r="F3494" t="str">
        <f>HYPERLINK("http://www.sec.gov/Archives/edgar/data/1436975/0001144204-16-090168-index.html")</f>
        <v>http://www.sec.gov/Archives/edgar/data/1436975/0001144204-16-090168-index.html</v>
      </c>
    </row>
    <row r="3495" spans="1:6" x14ac:dyDescent="0.2">
      <c r="A3495" t="s">
        <v>3117</v>
      </c>
      <c r="B3495" s="1">
        <v>1439567</v>
      </c>
      <c r="C3495" s="1">
        <v>6221</v>
      </c>
      <c r="D3495" s="2">
        <v>42453</v>
      </c>
      <c r="E3495" s="1" t="s">
        <v>18</v>
      </c>
      <c r="F3495" t="str">
        <f>HYPERLINK("http://www.sec.gov/Archives/edgar/data/1439567/0001144204-16-090061-index.html")</f>
        <v>http://www.sec.gov/Archives/edgar/data/1439567/0001144204-16-090061-index.html</v>
      </c>
    </row>
    <row r="3496" spans="1:6" x14ac:dyDescent="0.2">
      <c r="A3496" t="s">
        <v>3118</v>
      </c>
      <c r="B3496" s="1">
        <v>1453593</v>
      </c>
      <c r="C3496" s="1">
        <v>2836</v>
      </c>
      <c r="D3496" s="2">
        <v>42453</v>
      </c>
      <c r="E3496" s="1" t="s">
        <v>18</v>
      </c>
      <c r="F3496" t="str">
        <f>HYPERLINK("http://www.sec.gov/Archives/edgar/data/1453593/0001144204-16-090163-index.html")</f>
        <v>http://www.sec.gov/Archives/edgar/data/1453593/0001144204-16-090163-index.html</v>
      </c>
    </row>
    <row r="3497" spans="1:6" x14ac:dyDescent="0.2">
      <c r="A3497" t="s">
        <v>3119</v>
      </c>
      <c r="B3497" s="1">
        <v>1476045</v>
      </c>
      <c r="C3497" s="1">
        <v>6798</v>
      </c>
      <c r="D3497" s="2">
        <v>42453</v>
      </c>
      <c r="E3497" s="1" t="s">
        <v>42</v>
      </c>
      <c r="F3497" t="str">
        <f>HYPERLINK("http://www.sec.gov/Archives/edgar/data/1476045/0001476045-16-000101-index.html")</f>
        <v>http://www.sec.gov/Archives/edgar/data/1476045/0001476045-16-000101-index.html</v>
      </c>
    </row>
    <row r="3498" spans="1:6" x14ac:dyDescent="0.2">
      <c r="A3498" t="s">
        <v>3120</v>
      </c>
      <c r="B3498" s="1">
        <v>1487782</v>
      </c>
      <c r="C3498" s="1">
        <v>6798</v>
      </c>
      <c r="D3498" s="2">
        <v>42453</v>
      </c>
      <c r="E3498" s="1" t="s">
        <v>18</v>
      </c>
      <c r="F3498" t="str">
        <f>HYPERLINK("http://www.sec.gov/Archives/edgar/data/1487782/0001144204-16-090016-index.html")</f>
        <v>http://www.sec.gov/Archives/edgar/data/1487782/0001144204-16-090016-index.html</v>
      </c>
    </row>
    <row r="3499" spans="1:6" x14ac:dyDescent="0.2">
      <c r="A3499" t="s">
        <v>3121</v>
      </c>
      <c r="B3499" s="1">
        <v>1507986</v>
      </c>
      <c r="C3499" s="1">
        <v>6770</v>
      </c>
      <c r="D3499" s="2">
        <v>42453</v>
      </c>
      <c r="E3499" s="1" t="s">
        <v>18</v>
      </c>
      <c r="F3499" t="str">
        <f>HYPERLINK("http://www.sec.gov/Archives/edgar/data/1507986/0001144204-16-090049-index.html")</f>
        <v>http://www.sec.gov/Archives/edgar/data/1507986/0001144204-16-090049-index.html</v>
      </c>
    </row>
    <row r="3500" spans="1:6" x14ac:dyDescent="0.2">
      <c r="A3500" t="s">
        <v>3122</v>
      </c>
      <c r="B3500" s="1">
        <v>1514056</v>
      </c>
      <c r="C3500" s="1">
        <v>7812</v>
      </c>
      <c r="D3500" s="2">
        <v>42453</v>
      </c>
      <c r="E3500" s="1" t="s">
        <v>18</v>
      </c>
      <c r="F3500" t="str">
        <f>HYPERLINK("http://www.sec.gov/Archives/edgar/data/1514056/0001493152-16-008228-index.html")</f>
        <v>http://www.sec.gov/Archives/edgar/data/1514056/0001493152-16-008228-index.html</v>
      </c>
    </row>
    <row r="3501" spans="1:6" x14ac:dyDescent="0.2">
      <c r="A3501" t="s">
        <v>3123</v>
      </c>
      <c r="B3501" s="1">
        <v>1527531</v>
      </c>
      <c r="C3501" s="1">
        <v>6189</v>
      </c>
      <c r="D3501" s="2">
        <v>42453</v>
      </c>
      <c r="E3501" s="1" t="s">
        <v>18</v>
      </c>
      <c r="F3501" t="str">
        <f>HYPERLINK("http://www.sec.gov/Archives/edgar/data/1527531/0001056404-16-003646-index.html")</f>
        <v>http://www.sec.gov/Archives/edgar/data/1527531/0001056404-16-003646-index.html</v>
      </c>
    </row>
    <row r="3502" spans="1:6" x14ac:dyDescent="0.2">
      <c r="A3502" t="s">
        <v>3124</v>
      </c>
      <c r="B3502" s="1">
        <v>1529658</v>
      </c>
      <c r="C3502" s="1">
        <v>6189</v>
      </c>
      <c r="D3502" s="2">
        <v>42453</v>
      </c>
      <c r="E3502" s="1" t="s">
        <v>18</v>
      </c>
      <c r="F3502" t="str">
        <f>HYPERLINK("http://www.sec.gov/Archives/edgar/data/1529658/0001056404-16-003595-index.html")</f>
        <v>http://www.sec.gov/Archives/edgar/data/1529658/0001056404-16-003595-index.html</v>
      </c>
    </row>
    <row r="3503" spans="1:6" x14ac:dyDescent="0.2">
      <c r="A3503" t="s">
        <v>3125</v>
      </c>
      <c r="B3503" s="1">
        <v>1535456</v>
      </c>
      <c r="C3503" s="1">
        <v>6189</v>
      </c>
      <c r="D3503" s="2">
        <v>42453</v>
      </c>
      <c r="E3503" s="1" t="s">
        <v>18</v>
      </c>
      <c r="F3503" t="str">
        <f>HYPERLINK("http://www.sec.gov/Archives/edgar/data/1535456/0001056404-16-003662-index.html")</f>
        <v>http://www.sec.gov/Archives/edgar/data/1535456/0001056404-16-003662-index.html</v>
      </c>
    </row>
    <row r="3504" spans="1:6" x14ac:dyDescent="0.2">
      <c r="A3504" t="s">
        <v>3126</v>
      </c>
      <c r="B3504" s="1">
        <v>1544629</v>
      </c>
      <c r="C3504" s="1">
        <v>6189</v>
      </c>
      <c r="D3504" s="2">
        <v>42453</v>
      </c>
      <c r="E3504" s="1" t="s">
        <v>18</v>
      </c>
      <c r="F3504" t="str">
        <f>HYPERLINK("http://www.sec.gov/Archives/edgar/data/1544629/0001020242-16-000340-index.html")</f>
        <v>http://www.sec.gov/Archives/edgar/data/1544629/0001020242-16-000340-index.html</v>
      </c>
    </row>
    <row r="3505" spans="1:6" x14ac:dyDescent="0.2">
      <c r="A3505" t="s">
        <v>3127</v>
      </c>
      <c r="B3505" s="1">
        <v>1548599</v>
      </c>
      <c r="C3505" s="1">
        <v>6189</v>
      </c>
      <c r="D3505" s="2">
        <v>42453</v>
      </c>
      <c r="E3505" s="1" t="s">
        <v>18</v>
      </c>
      <c r="F3505" t="str">
        <f>HYPERLINK("http://www.sec.gov/Archives/edgar/data/1548599/0001056404-16-003644-index.html")</f>
        <v>http://www.sec.gov/Archives/edgar/data/1548599/0001056404-16-003644-index.html</v>
      </c>
    </row>
    <row r="3506" spans="1:6" x14ac:dyDescent="0.2">
      <c r="A3506" t="s">
        <v>3128</v>
      </c>
      <c r="B3506" s="1">
        <v>1549276</v>
      </c>
      <c r="C3506" s="1">
        <v>6036</v>
      </c>
      <c r="D3506" s="2">
        <v>42453</v>
      </c>
      <c r="E3506" s="1" t="s">
        <v>18</v>
      </c>
      <c r="F3506" t="str">
        <f>HYPERLINK("http://www.sec.gov/Archives/edgar/data/1549276/0001549276-16-000057-index.html")</f>
        <v>http://www.sec.gov/Archives/edgar/data/1549276/0001549276-16-000057-index.html</v>
      </c>
    </row>
    <row r="3507" spans="1:6" x14ac:dyDescent="0.2">
      <c r="A3507" t="s">
        <v>3129</v>
      </c>
      <c r="B3507" s="1">
        <v>1550221</v>
      </c>
      <c r="C3507" s="1">
        <v>6189</v>
      </c>
      <c r="D3507" s="2">
        <v>42453</v>
      </c>
      <c r="E3507" s="1" t="s">
        <v>18</v>
      </c>
      <c r="F3507" t="str">
        <f>HYPERLINK("http://www.sec.gov/Archives/edgar/data/1550221/0001056404-16-003652-index.html")</f>
        <v>http://www.sec.gov/Archives/edgar/data/1550221/0001056404-16-003652-index.html</v>
      </c>
    </row>
    <row r="3508" spans="1:6" x14ac:dyDescent="0.2">
      <c r="A3508" t="s">
        <v>3130</v>
      </c>
      <c r="B3508" s="1">
        <v>1553830</v>
      </c>
      <c r="C3508" s="1">
        <v>6022</v>
      </c>
      <c r="D3508" s="2">
        <v>42453</v>
      </c>
      <c r="E3508" s="1" t="s">
        <v>18</v>
      </c>
      <c r="F3508" t="str">
        <f>HYPERLINK("http://www.sec.gov/Archives/edgar/data/1553830/0001144204-16-089984-index.html")</f>
        <v>http://www.sec.gov/Archives/edgar/data/1553830/0001144204-16-089984-index.html</v>
      </c>
    </row>
    <row r="3509" spans="1:6" x14ac:dyDescent="0.2">
      <c r="A3509" t="s">
        <v>3131</v>
      </c>
      <c r="B3509" s="1">
        <v>1555902</v>
      </c>
      <c r="C3509" s="1">
        <v>6189</v>
      </c>
      <c r="D3509" s="2">
        <v>42453</v>
      </c>
      <c r="E3509" s="1" t="s">
        <v>18</v>
      </c>
      <c r="F3509" t="str">
        <f>HYPERLINK("http://www.sec.gov/Archives/edgar/data/1555902/0001020242-16-000324-index.html")</f>
        <v>http://www.sec.gov/Archives/edgar/data/1555902/0001020242-16-000324-index.html</v>
      </c>
    </row>
    <row r="3510" spans="1:6" x14ac:dyDescent="0.2">
      <c r="A3510" t="s">
        <v>3132</v>
      </c>
      <c r="B3510" s="1">
        <v>1556487</v>
      </c>
      <c r="C3510" s="1">
        <v>6189</v>
      </c>
      <c r="D3510" s="2">
        <v>42453</v>
      </c>
      <c r="E3510" s="1" t="s">
        <v>18</v>
      </c>
      <c r="F3510" t="str">
        <f>HYPERLINK("http://www.sec.gov/Archives/edgar/data/1556487/0001020242-16-000317-index.html")</f>
        <v>http://www.sec.gov/Archives/edgar/data/1556487/0001020242-16-000317-index.html</v>
      </c>
    </row>
    <row r="3511" spans="1:6" x14ac:dyDescent="0.2">
      <c r="A3511" t="s">
        <v>2020</v>
      </c>
      <c r="B3511" s="1">
        <v>1556601</v>
      </c>
      <c r="C3511" s="1">
        <v>6189</v>
      </c>
      <c r="D3511" s="2">
        <v>42453</v>
      </c>
      <c r="E3511" s="1" t="s">
        <v>18</v>
      </c>
      <c r="F3511" t="str">
        <f>HYPERLINK("http://www.sec.gov/Archives/edgar/data/1556601/0001056404-16-003670-index.html")</f>
        <v>http://www.sec.gov/Archives/edgar/data/1556601/0001056404-16-003670-index.html</v>
      </c>
    </row>
    <row r="3512" spans="1:6" x14ac:dyDescent="0.2">
      <c r="A3512" t="s">
        <v>3133</v>
      </c>
      <c r="B3512" s="1">
        <v>1557805</v>
      </c>
      <c r="C3512" s="1">
        <v>6189</v>
      </c>
      <c r="D3512" s="2">
        <v>42453</v>
      </c>
      <c r="E3512" s="1" t="s">
        <v>18</v>
      </c>
      <c r="F3512" t="str">
        <f>HYPERLINK("http://www.sec.gov/Archives/edgar/data/1557805/0001056404-16-003610-index.html")</f>
        <v>http://www.sec.gov/Archives/edgar/data/1557805/0001056404-16-003610-index.html</v>
      </c>
    </row>
    <row r="3513" spans="1:6" x14ac:dyDescent="0.2">
      <c r="A3513" t="s">
        <v>3134</v>
      </c>
      <c r="B3513" s="1">
        <v>1566011</v>
      </c>
      <c r="C3513" s="1">
        <v>2911</v>
      </c>
      <c r="D3513" s="2">
        <v>42453</v>
      </c>
      <c r="E3513" s="1" t="s">
        <v>18</v>
      </c>
      <c r="F3513" t="str">
        <f>HYPERLINK("http://www.sec.gov/Archives/edgar/data/1566011/0001566011-16-000017-index.html")</f>
        <v>http://www.sec.gov/Archives/edgar/data/1566011/0001566011-16-000017-index.html</v>
      </c>
    </row>
    <row r="3514" spans="1:6" x14ac:dyDescent="0.2">
      <c r="A3514" t="s">
        <v>3135</v>
      </c>
      <c r="B3514" s="1">
        <v>1566053</v>
      </c>
      <c r="C3514" s="1">
        <v>6189</v>
      </c>
      <c r="D3514" s="2">
        <v>42453</v>
      </c>
      <c r="E3514" s="1" t="s">
        <v>18</v>
      </c>
      <c r="F3514" t="str">
        <f>HYPERLINK("http://www.sec.gov/Archives/edgar/data/1566053/0001056404-16-003590-index.html")</f>
        <v>http://www.sec.gov/Archives/edgar/data/1566053/0001056404-16-003590-index.html</v>
      </c>
    </row>
    <row r="3515" spans="1:6" x14ac:dyDescent="0.2">
      <c r="A3515" t="s">
        <v>3136</v>
      </c>
      <c r="B3515" s="1">
        <v>1566097</v>
      </c>
      <c r="C3515" s="1">
        <v>2911</v>
      </c>
      <c r="D3515" s="2">
        <v>42453</v>
      </c>
      <c r="E3515" s="1" t="s">
        <v>18</v>
      </c>
      <c r="F3515" t="str">
        <f>HYPERLINK("http://www.sec.gov/Archives/edgar/data/1566097/0001566011-16-000017-index.html")</f>
        <v>http://www.sec.gov/Archives/edgar/data/1566097/0001566011-16-000017-index.html</v>
      </c>
    </row>
    <row r="3516" spans="1:6" x14ac:dyDescent="0.2">
      <c r="A3516" t="s">
        <v>3137</v>
      </c>
      <c r="B3516" s="1">
        <v>1566140</v>
      </c>
      <c r="C3516" s="1">
        <v>6189</v>
      </c>
      <c r="D3516" s="2">
        <v>42453</v>
      </c>
      <c r="E3516" s="1" t="s">
        <v>18</v>
      </c>
      <c r="F3516" t="str">
        <f>HYPERLINK("http://www.sec.gov/Archives/edgar/data/1566140/0001020242-16-000325-index.html")</f>
        <v>http://www.sec.gov/Archives/edgar/data/1566140/0001020242-16-000325-index.html</v>
      </c>
    </row>
    <row r="3517" spans="1:6" x14ac:dyDescent="0.2">
      <c r="A3517" t="s">
        <v>3138</v>
      </c>
      <c r="B3517" s="1">
        <v>1566543</v>
      </c>
      <c r="C3517" s="1">
        <v>6189</v>
      </c>
      <c r="D3517" s="2">
        <v>42453</v>
      </c>
      <c r="E3517" s="1" t="s">
        <v>18</v>
      </c>
      <c r="F3517" t="str">
        <f>HYPERLINK("http://www.sec.gov/Archives/edgar/data/1566543/0001056404-16-003591-index.html")</f>
        <v>http://www.sec.gov/Archives/edgar/data/1566543/0001056404-16-003591-index.html</v>
      </c>
    </row>
    <row r="3518" spans="1:6" x14ac:dyDescent="0.2">
      <c r="A3518" t="s">
        <v>3139</v>
      </c>
      <c r="B3518" s="1">
        <v>1566544</v>
      </c>
      <c r="C3518" s="1">
        <v>6189</v>
      </c>
      <c r="D3518" s="2">
        <v>42453</v>
      </c>
      <c r="E3518" s="1" t="s">
        <v>18</v>
      </c>
      <c r="F3518" t="str">
        <f>HYPERLINK("http://www.sec.gov/Archives/edgar/data/1566544/0001020242-16-000332-index.html")</f>
        <v>http://www.sec.gov/Archives/edgar/data/1566544/0001020242-16-000332-index.html</v>
      </c>
    </row>
    <row r="3519" spans="1:6" x14ac:dyDescent="0.2">
      <c r="A3519" t="s">
        <v>3140</v>
      </c>
      <c r="B3519" s="1">
        <v>1568385</v>
      </c>
      <c r="C3519" s="1">
        <v>7371</v>
      </c>
      <c r="D3519" s="2">
        <v>42453</v>
      </c>
      <c r="E3519" s="1" t="s">
        <v>18</v>
      </c>
      <c r="F3519" t="str">
        <f>HYPERLINK("http://www.sec.gov/Archives/edgar/data/1568385/0001553350-16-001760-index.html")</f>
        <v>http://www.sec.gov/Archives/edgar/data/1568385/0001553350-16-001760-index.html</v>
      </c>
    </row>
    <row r="3520" spans="1:6" x14ac:dyDescent="0.2">
      <c r="A3520" t="s">
        <v>3141</v>
      </c>
      <c r="B3520" s="1">
        <v>1569455</v>
      </c>
      <c r="C3520" s="1">
        <v>6189</v>
      </c>
      <c r="D3520" s="2">
        <v>42453</v>
      </c>
      <c r="E3520" s="1" t="s">
        <v>18</v>
      </c>
      <c r="F3520" t="str">
        <f>HYPERLINK("http://www.sec.gov/Archives/edgar/data/1569455/0001056404-16-003602-index.html")</f>
        <v>http://www.sec.gov/Archives/edgar/data/1569455/0001056404-16-003602-index.html</v>
      </c>
    </row>
    <row r="3521" spans="1:6" x14ac:dyDescent="0.2">
      <c r="A3521" t="s">
        <v>3142</v>
      </c>
      <c r="B3521" s="1">
        <v>1574219</v>
      </c>
      <c r="C3521" s="1">
        <v>6189</v>
      </c>
      <c r="D3521" s="2">
        <v>42453</v>
      </c>
      <c r="E3521" s="1" t="s">
        <v>18</v>
      </c>
      <c r="F3521" t="str">
        <f>HYPERLINK("http://www.sec.gov/Archives/edgar/data/1574219/0001056404-16-003655-index.html")</f>
        <v>http://www.sec.gov/Archives/edgar/data/1574219/0001056404-16-003655-index.html</v>
      </c>
    </row>
    <row r="3522" spans="1:6" x14ac:dyDescent="0.2">
      <c r="A3522" t="s">
        <v>3143</v>
      </c>
      <c r="B3522" s="1">
        <v>1575686</v>
      </c>
      <c r="C3522" s="1">
        <v>6189</v>
      </c>
      <c r="D3522" s="2">
        <v>42453</v>
      </c>
      <c r="E3522" s="1" t="s">
        <v>18</v>
      </c>
      <c r="F3522" t="str">
        <f>HYPERLINK("http://www.sec.gov/Archives/edgar/data/1575686/0001020242-16-000326-index.html")</f>
        <v>http://www.sec.gov/Archives/edgar/data/1575686/0001020242-16-000326-index.html</v>
      </c>
    </row>
    <row r="3523" spans="1:6" x14ac:dyDescent="0.2">
      <c r="A3523" t="s">
        <v>3144</v>
      </c>
      <c r="B3523" s="1">
        <v>1577545</v>
      </c>
      <c r="C3523" s="1">
        <v>6189</v>
      </c>
      <c r="D3523" s="2">
        <v>42453</v>
      </c>
      <c r="E3523" s="1" t="s">
        <v>18</v>
      </c>
      <c r="F3523" t="str">
        <f>HYPERLINK("http://www.sec.gov/Archives/edgar/data/1577545/0001056404-16-003600-index.html")</f>
        <v>http://www.sec.gov/Archives/edgar/data/1577545/0001056404-16-003600-index.html</v>
      </c>
    </row>
    <row r="3524" spans="1:6" x14ac:dyDescent="0.2">
      <c r="A3524" t="s">
        <v>3145</v>
      </c>
      <c r="B3524" s="1">
        <v>1578423</v>
      </c>
      <c r="C3524" s="1">
        <v>6189</v>
      </c>
      <c r="D3524" s="2">
        <v>42453</v>
      </c>
      <c r="E3524" s="1" t="s">
        <v>18</v>
      </c>
      <c r="F3524" t="str">
        <f>HYPERLINK("http://www.sec.gov/Archives/edgar/data/1578423/0001056404-16-003617-index.html")</f>
        <v>http://www.sec.gov/Archives/edgar/data/1578423/0001056404-16-003617-index.html</v>
      </c>
    </row>
    <row r="3525" spans="1:6" x14ac:dyDescent="0.2">
      <c r="A3525" t="s">
        <v>3146</v>
      </c>
      <c r="B3525" s="1">
        <v>1578932</v>
      </c>
      <c r="C3525" s="1">
        <v>2800</v>
      </c>
      <c r="D3525" s="2">
        <v>42453</v>
      </c>
      <c r="E3525" s="1" t="s">
        <v>18</v>
      </c>
      <c r="F3525" t="str">
        <f>HYPERLINK("http://www.sec.gov/Archives/edgar/data/1578932/0001578932-16-000011-index.html")</f>
        <v>http://www.sec.gov/Archives/edgar/data/1578932/0001578932-16-000011-index.html</v>
      </c>
    </row>
    <row r="3526" spans="1:6" x14ac:dyDescent="0.2">
      <c r="A3526" t="s">
        <v>3147</v>
      </c>
      <c r="B3526" s="1">
        <v>1579306</v>
      </c>
      <c r="C3526" s="1">
        <v>6189</v>
      </c>
      <c r="D3526" s="2">
        <v>42453</v>
      </c>
      <c r="E3526" s="1" t="s">
        <v>18</v>
      </c>
      <c r="F3526" t="str">
        <f>HYPERLINK("http://www.sec.gov/Archives/edgar/data/1579306/0001056404-16-003634-index.html")</f>
        <v>http://www.sec.gov/Archives/edgar/data/1579306/0001056404-16-003634-index.html</v>
      </c>
    </row>
    <row r="3527" spans="1:6" x14ac:dyDescent="0.2">
      <c r="A3527" t="s">
        <v>967</v>
      </c>
      <c r="B3527" s="1">
        <v>1579428</v>
      </c>
      <c r="C3527" s="1">
        <v>2834</v>
      </c>
      <c r="D3527" s="2">
        <v>42453</v>
      </c>
      <c r="E3527" s="1" t="s">
        <v>18</v>
      </c>
      <c r="F3527" t="str">
        <f>HYPERLINK("http://www.sec.gov/Archives/edgar/data/1579428/0001558370-16-004365-index.html")</f>
        <v>http://www.sec.gov/Archives/edgar/data/1579428/0001558370-16-004365-index.html</v>
      </c>
    </row>
    <row r="3528" spans="1:6" x14ac:dyDescent="0.2">
      <c r="A3528" t="s">
        <v>2021</v>
      </c>
      <c r="B3528" s="1">
        <v>1580013</v>
      </c>
      <c r="C3528" s="1">
        <v>6189</v>
      </c>
      <c r="D3528" s="2">
        <v>42453</v>
      </c>
      <c r="E3528" s="1" t="s">
        <v>18</v>
      </c>
      <c r="F3528" t="str">
        <f>HYPERLINK("http://www.sec.gov/Archives/edgar/data/1580013/0001056404-16-003630-index.html")</f>
        <v>http://www.sec.gov/Archives/edgar/data/1580013/0001056404-16-003630-index.html</v>
      </c>
    </row>
    <row r="3529" spans="1:6" x14ac:dyDescent="0.2">
      <c r="A3529" t="s">
        <v>3148</v>
      </c>
      <c r="B3529" s="1">
        <v>1581653</v>
      </c>
      <c r="C3529" s="1">
        <v>6189</v>
      </c>
      <c r="D3529" s="2">
        <v>42453</v>
      </c>
      <c r="E3529" s="1" t="s">
        <v>18</v>
      </c>
      <c r="F3529" t="str">
        <f>HYPERLINK("http://www.sec.gov/Archives/edgar/data/1581653/0001056404-16-003640-index.html")</f>
        <v>http://www.sec.gov/Archives/edgar/data/1581653/0001056404-16-003640-index.html</v>
      </c>
    </row>
    <row r="3530" spans="1:6" x14ac:dyDescent="0.2">
      <c r="A3530" t="s">
        <v>3149</v>
      </c>
      <c r="B3530" s="1">
        <v>1582605</v>
      </c>
      <c r="C3530" s="1">
        <v>6189</v>
      </c>
      <c r="D3530" s="2">
        <v>42453</v>
      </c>
      <c r="E3530" s="1" t="s">
        <v>18</v>
      </c>
      <c r="F3530" t="str">
        <f>HYPERLINK("http://www.sec.gov/Archives/edgar/data/1582605/0001056404-16-003633-index.html")</f>
        <v>http://www.sec.gov/Archives/edgar/data/1582605/0001056404-16-003633-index.html</v>
      </c>
    </row>
    <row r="3531" spans="1:6" x14ac:dyDescent="0.2">
      <c r="A3531" t="s">
        <v>3150</v>
      </c>
      <c r="B3531" s="1">
        <v>1582982</v>
      </c>
      <c r="C3531" s="1">
        <v>7372</v>
      </c>
      <c r="D3531" s="2">
        <v>42453</v>
      </c>
      <c r="E3531" s="1" t="s">
        <v>18</v>
      </c>
      <c r="F3531" t="str">
        <f>HYPERLINK("http://www.sec.gov/Archives/edgar/data/1582982/0001144204-16-090133-index.html")</f>
        <v>http://www.sec.gov/Archives/edgar/data/1582982/0001144204-16-090133-index.html</v>
      </c>
    </row>
    <row r="3532" spans="1:6" x14ac:dyDescent="0.2">
      <c r="A3532" t="s">
        <v>3151</v>
      </c>
      <c r="B3532" s="1">
        <v>1584492</v>
      </c>
      <c r="C3532" s="1">
        <v>6189</v>
      </c>
      <c r="D3532" s="2">
        <v>42453</v>
      </c>
      <c r="E3532" s="1" t="s">
        <v>18</v>
      </c>
      <c r="F3532" t="str">
        <f>HYPERLINK("http://www.sec.gov/Archives/edgar/data/1584492/0001020242-16-000316-index.html")</f>
        <v>http://www.sec.gov/Archives/edgar/data/1584492/0001020242-16-000316-index.html</v>
      </c>
    </row>
    <row r="3533" spans="1:6" x14ac:dyDescent="0.2">
      <c r="A3533" t="s">
        <v>2022</v>
      </c>
      <c r="B3533" s="1">
        <v>1585067</v>
      </c>
      <c r="C3533" s="1">
        <v>6189</v>
      </c>
      <c r="D3533" s="2">
        <v>42453</v>
      </c>
      <c r="E3533" s="1" t="s">
        <v>18</v>
      </c>
      <c r="F3533" t="str">
        <f>HYPERLINK("http://www.sec.gov/Archives/edgar/data/1585067/0001056404-16-003660-index.html")</f>
        <v>http://www.sec.gov/Archives/edgar/data/1585067/0001056404-16-003660-index.html</v>
      </c>
    </row>
    <row r="3534" spans="1:6" x14ac:dyDescent="0.2">
      <c r="A3534" t="s">
        <v>3152</v>
      </c>
      <c r="B3534" s="1">
        <v>1585101</v>
      </c>
      <c r="C3534" s="1">
        <v>6798</v>
      </c>
      <c r="D3534" s="2">
        <v>42453</v>
      </c>
      <c r="E3534" s="1" t="s">
        <v>18</v>
      </c>
      <c r="F3534" t="str">
        <f>HYPERLINK("http://www.sec.gov/Archives/edgar/data/1585101/0001585101-16-000086-index.html")</f>
        <v>http://www.sec.gov/Archives/edgar/data/1585101/0001585101-16-000086-index.html</v>
      </c>
    </row>
    <row r="3535" spans="1:6" x14ac:dyDescent="0.2">
      <c r="A3535" t="s">
        <v>3153</v>
      </c>
      <c r="B3535" s="1">
        <v>1588251</v>
      </c>
      <c r="C3535" s="1">
        <v>6189</v>
      </c>
      <c r="D3535" s="2">
        <v>42453</v>
      </c>
      <c r="E3535" s="1" t="s">
        <v>18</v>
      </c>
      <c r="F3535" t="str">
        <f>HYPERLINK("http://www.sec.gov/Archives/edgar/data/1588251/0001056404-16-003643-index.html")</f>
        <v>http://www.sec.gov/Archives/edgar/data/1588251/0001056404-16-003643-index.html</v>
      </c>
    </row>
    <row r="3536" spans="1:6" x14ac:dyDescent="0.2">
      <c r="A3536" t="s">
        <v>3154</v>
      </c>
      <c r="B3536" s="1">
        <v>1588972</v>
      </c>
      <c r="C3536" s="1">
        <v>2834</v>
      </c>
      <c r="D3536" s="2">
        <v>42453</v>
      </c>
      <c r="E3536" s="1" t="s">
        <v>18</v>
      </c>
      <c r="F3536" t="str">
        <f>HYPERLINK("http://www.sec.gov/Archives/edgar/data/1588972/0001193125-16-516045-index.html")</f>
        <v>http://www.sec.gov/Archives/edgar/data/1588972/0001193125-16-516045-index.html</v>
      </c>
    </row>
    <row r="3537" spans="1:6" x14ac:dyDescent="0.2">
      <c r="A3537" t="s">
        <v>3155</v>
      </c>
      <c r="B3537" s="1">
        <v>1589804</v>
      </c>
      <c r="C3537" s="1">
        <v>6189</v>
      </c>
      <c r="D3537" s="2">
        <v>42453</v>
      </c>
      <c r="E3537" s="1" t="s">
        <v>18</v>
      </c>
      <c r="F3537" t="str">
        <f>HYPERLINK("http://www.sec.gov/Archives/edgar/data/1589804/0001020242-16-000328-index.html")</f>
        <v>http://www.sec.gov/Archives/edgar/data/1589804/0001020242-16-000328-index.html</v>
      </c>
    </row>
    <row r="3538" spans="1:6" x14ac:dyDescent="0.2">
      <c r="A3538" t="s">
        <v>3156</v>
      </c>
      <c r="B3538" s="1">
        <v>1590231</v>
      </c>
      <c r="C3538" s="1">
        <v>6189</v>
      </c>
      <c r="D3538" s="2">
        <v>42453</v>
      </c>
      <c r="E3538" s="1" t="s">
        <v>18</v>
      </c>
      <c r="F3538" t="str">
        <f>HYPERLINK("http://www.sec.gov/Archives/edgar/data/1590231/0001056404-16-003659-index.html")</f>
        <v>http://www.sec.gov/Archives/edgar/data/1590231/0001056404-16-003659-index.html</v>
      </c>
    </row>
    <row r="3539" spans="1:6" x14ac:dyDescent="0.2">
      <c r="A3539" t="s">
        <v>3157</v>
      </c>
      <c r="B3539" s="1">
        <v>1592288</v>
      </c>
      <c r="C3539" s="1">
        <v>2836</v>
      </c>
      <c r="D3539" s="2">
        <v>42453</v>
      </c>
      <c r="E3539" s="1" t="s">
        <v>18</v>
      </c>
      <c r="F3539" t="str">
        <f>HYPERLINK("http://www.sec.gov/Archives/edgar/data/1592288/0001564590-16-015204-index.html")</f>
        <v>http://www.sec.gov/Archives/edgar/data/1592288/0001564590-16-015204-index.html</v>
      </c>
    </row>
    <row r="3540" spans="1:6" x14ac:dyDescent="0.2">
      <c r="A3540" t="s">
        <v>3158</v>
      </c>
      <c r="B3540" s="1">
        <v>1594136</v>
      </c>
      <c r="C3540" s="1">
        <v>6189</v>
      </c>
      <c r="D3540" s="2">
        <v>42453</v>
      </c>
      <c r="E3540" s="1" t="s">
        <v>18</v>
      </c>
      <c r="F3540" t="str">
        <f>HYPERLINK("http://www.sec.gov/Archives/edgar/data/1594136/0001056404-16-003625-index.html")</f>
        <v>http://www.sec.gov/Archives/edgar/data/1594136/0001056404-16-003625-index.html</v>
      </c>
    </row>
    <row r="3541" spans="1:6" x14ac:dyDescent="0.2">
      <c r="A3541" t="s">
        <v>3159</v>
      </c>
      <c r="B3541" s="1">
        <v>1597339</v>
      </c>
      <c r="C3541" s="1">
        <v>6189</v>
      </c>
      <c r="D3541" s="2">
        <v>42453</v>
      </c>
      <c r="E3541" s="1" t="s">
        <v>18</v>
      </c>
      <c r="F3541" t="str">
        <f>HYPERLINK("http://www.sec.gov/Archives/edgar/data/1597339/0001056404-16-003619-index.html")</f>
        <v>http://www.sec.gov/Archives/edgar/data/1597339/0001056404-16-003619-index.html</v>
      </c>
    </row>
    <row r="3542" spans="1:6" x14ac:dyDescent="0.2">
      <c r="A3542" t="s">
        <v>3160</v>
      </c>
      <c r="B3542" s="1">
        <v>1599714</v>
      </c>
      <c r="C3542" s="1">
        <v>6189</v>
      </c>
      <c r="D3542" s="2">
        <v>42453</v>
      </c>
      <c r="E3542" s="1" t="s">
        <v>18</v>
      </c>
      <c r="F3542" t="str">
        <f>HYPERLINK("http://www.sec.gov/Archives/edgar/data/1599714/0001020242-16-000331-index.html")</f>
        <v>http://www.sec.gov/Archives/edgar/data/1599714/0001020242-16-000331-index.html</v>
      </c>
    </row>
    <row r="3543" spans="1:6" x14ac:dyDescent="0.2">
      <c r="A3543" t="s">
        <v>3161</v>
      </c>
      <c r="B3543" s="1">
        <v>1601617</v>
      </c>
      <c r="C3543" s="1">
        <v>6189</v>
      </c>
      <c r="D3543" s="2">
        <v>42453</v>
      </c>
      <c r="E3543" s="1" t="s">
        <v>18</v>
      </c>
      <c r="F3543" t="str">
        <f>HYPERLINK("http://www.sec.gov/Archives/edgar/data/1601617/0001056404-16-003618-index.html")</f>
        <v>http://www.sec.gov/Archives/edgar/data/1601617/0001056404-16-003618-index.html</v>
      </c>
    </row>
    <row r="3544" spans="1:6" x14ac:dyDescent="0.2">
      <c r="A3544" t="s">
        <v>3162</v>
      </c>
      <c r="B3544" s="1">
        <v>1601744</v>
      </c>
      <c r="C3544" s="1">
        <v>6189</v>
      </c>
      <c r="D3544" s="2">
        <v>42453</v>
      </c>
      <c r="E3544" s="1" t="s">
        <v>18</v>
      </c>
      <c r="F3544" t="str">
        <f>HYPERLINK("http://www.sec.gov/Archives/edgar/data/1601744/0001056404-16-003639-index.html")</f>
        <v>http://www.sec.gov/Archives/edgar/data/1601744/0001056404-16-003639-index.html</v>
      </c>
    </row>
    <row r="3545" spans="1:6" x14ac:dyDescent="0.2">
      <c r="A3545" t="s">
        <v>2023</v>
      </c>
      <c r="B3545" s="1">
        <v>1603578</v>
      </c>
      <c r="C3545" s="1">
        <v>6189</v>
      </c>
      <c r="D3545" s="2">
        <v>42453</v>
      </c>
      <c r="E3545" s="1" t="s">
        <v>18</v>
      </c>
      <c r="F3545" t="str">
        <f>HYPERLINK("http://www.sec.gov/Archives/edgar/data/1603578/0001056404-16-003665-index.html")</f>
        <v>http://www.sec.gov/Archives/edgar/data/1603578/0001056404-16-003665-index.html</v>
      </c>
    </row>
    <row r="3546" spans="1:6" x14ac:dyDescent="0.2">
      <c r="A3546" t="s">
        <v>3163</v>
      </c>
      <c r="B3546" s="1">
        <v>1604119</v>
      </c>
      <c r="C3546" s="1">
        <v>6189</v>
      </c>
      <c r="D3546" s="2">
        <v>42453</v>
      </c>
      <c r="E3546" s="1" t="s">
        <v>18</v>
      </c>
      <c r="F3546" t="str">
        <f>HYPERLINK("http://www.sec.gov/Archives/edgar/data/1604119/0001056404-16-003627-index.html")</f>
        <v>http://www.sec.gov/Archives/edgar/data/1604119/0001056404-16-003627-index.html</v>
      </c>
    </row>
    <row r="3547" spans="1:6" x14ac:dyDescent="0.2">
      <c r="A3547" t="s">
        <v>3164</v>
      </c>
      <c r="B3547" s="1">
        <v>1604821</v>
      </c>
      <c r="C3547" s="1">
        <v>8071</v>
      </c>
      <c r="D3547" s="2">
        <v>42453</v>
      </c>
      <c r="E3547" s="1" t="s">
        <v>18</v>
      </c>
      <c r="F3547" t="str">
        <f>HYPERLINK("http://www.sec.gov/Archives/edgar/data/1604821/0001558370-16-004339-index.html")</f>
        <v>http://www.sec.gov/Archives/edgar/data/1604821/0001558370-16-004339-index.html</v>
      </c>
    </row>
    <row r="3548" spans="1:6" x14ac:dyDescent="0.2">
      <c r="A3548" t="s">
        <v>3165</v>
      </c>
      <c r="B3548" s="1">
        <v>1605780</v>
      </c>
      <c r="C3548" s="1">
        <v>5900</v>
      </c>
      <c r="D3548" s="2">
        <v>42453</v>
      </c>
      <c r="E3548" s="1" t="s">
        <v>21</v>
      </c>
      <c r="F3548" t="str">
        <f>HYPERLINK("http://www.sec.gov/Archives/edgar/data/1605780/0001640334-16-000859-index.html")</f>
        <v>http://www.sec.gov/Archives/edgar/data/1605780/0001640334-16-000859-index.html</v>
      </c>
    </row>
    <row r="3549" spans="1:6" x14ac:dyDescent="0.2">
      <c r="A3549" t="s">
        <v>3166</v>
      </c>
      <c r="B3549" s="1">
        <v>1606268</v>
      </c>
      <c r="C3549" s="1">
        <v>4931</v>
      </c>
      <c r="D3549" s="2">
        <v>42453</v>
      </c>
      <c r="E3549" s="1" t="s">
        <v>18</v>
      </c>
      <c r="F3549" t="str">
        <f>HYPERLINK("http://www.sec.gov/Archives/edgar/data/1606268/0001606268-16-000225-index.html")</f>
        <v>http://www.sec.gov/Archives/edgar/data/1606268/0001606268-16-000225-index.html</v>
      </c>
    </row>
    <row r="3550" spans="1:6" x14ac:dyDescent="0.2">
      <c r="A3550" t="s">
        <v>3167</v>
      </c>
      <c r="B3550" s="1">
        <v>1607484</v>
      </c>
      <c r="C3550" s="1">
        <v>6189</v>
      </c>
      <c r="D3550" s="2">
        <v>42453</v>
      </c>
      <c r="E3550" s="1" t="s">
        <v>18</v>
      </c>
      <c r="F3550" t="str">
        <f>HYPERLINK("http://www.sec.gov/Archives/edgar/data/1607484/0001056404-16-003669-index.html")</f>
        <v>http://www.sec.gov/Archives/edgar/data/1607484/0001056404-16-003669-index.html</v>
      </c>
    </row>
    <row r="3551" spans="1:6" x14ac:dyDescent="0.2">
      <c r="A3551" t="s">
        <v>3168</v>
      </c>
      <c r="B3551" s="1">
        <v>1607865</v>
      </c>
      <c r="C3551" s="1">
        <v>6189</v>
      </c>
      <c r="D3551" s="2">
        <v>42453</v>
      </c>
      <c r="E3551" s="1" t="s">
        <v>18</v>
      </c>
      <c r="F3551" t="str">
        <f>HYPERLINK("http://www.sec.gov/Archives/edgar/data/1607865/0001056404-16-003650-index.html")</f>
        <v>http://www.sec.gov/Archives/edgar/data/1607865/0001056404-16-003650-index.html</v>
      </c>
    </row>
    <row r="3552" spans="1:6" x14ac:dyDescent="0.2">
      <c r="A3552" t="s">
        <v>3169</v>
      </c>
      <c r="B3552" s="1">
        <v>1609671</v>
      </c>
      <c r="C3552" s="1">
        <v>6189</v>
      </c>
      <c r="D3552" s="2">
        <v>42453</v>
      </c>
      <c r="E3552" s="1" t="s">
        <v>18</v>
      </c>
      <c r="F3552" t="str">
        <f>HYPERLINK("http://www.sec.gov/Archives/edgar/data/1609671/0001056404-16-003628-index.html")</f>
        <v>http://www.sec.gov/Archives/edgar/data/1609671/0001056404-16-003628-index.html</v>
      </c>
    </row>
    <row r="3553" spans="1:6" x14ac:dyDescent="0.2">
      <c r="A3553" t="s">
        <v>3170</v>
      </c>
      <c r="B3553" s="1">
        <v>1612126</v>
      </c>
      <c r="C3553" s="1">
        <v>6189</v>
      </c>
      <c r="D3553" s="2">
        <v>42453</v>
      </c>
      <c r="E3553" s="1" t="s">
        <v>18</v>
      </c>
      <c r="F3553" t="str">
        <f>HYPERLINK("http://www.sec.gov/Archives/edgar/data/1612126/0001020242-16-000315-index.html")</f>
        <v>http://www.sec.gov/Archives/edgar/data/1612126/0001020242-16-000315-index.html</v>
      </c>
    </row>
    <row r="3554" spans="1:6" x14ac:dyDescent="0.2">
      <c r="A3554" t="s">
        <v>749</v>
      </c>
      <c r="B3554" s="1">
        <v>1617898</v>
      </c>
      <c r="C3554" s="1">
        <v>3720</v>
      </c>
      <c r="D3554" s="2">
        <v>42453</v>
      </c>
      <c r="E3554" s="1" t="s">
        <v>18</v>
      </c>
      <c r="F3554" t="str">
        <f>HYPERLINK("http://www.sec.gov/Archives/edgar/data/1617898/0001558370-16-004366-index.html")</f>
        <v>http://www.sec.gov/Archives/edgar/data/1617898/0001558370-16-004366-index.html</v>
      </c>
    </row>
    <row r="3555" spans="1:6" x14ac:dyDescent="0.2">
      <c r="A3555" t="s">
        <v>3171</v>
      </c>
      <c r="B3555" s="1">
        <v>1617957</v>
      </c>
      <c r="C3555" s="1">
        <v>6189</v>
      </c>
      <c r="D3555" s="2">
        <v>42453</v>
      </c>
      <c r="E3555" s="1" t="s">
        <v>18</v>
      </c>
      <c r="F3555" t="str">
        <f>HYPERLINK("http://www.sec.gov/Archives/edgar/data/1617957/0001056404-16-003674-index.html")</f>
        <v>http://www.sec.gov/Archives/edgar/data/1617957/0001056404-16-003674-index.html</v>
      </c>
    </row>
    <row r="3556" spans="1:6" x14ac:dyDescent="0.2">
      <c r="A3556" t="s">
        <v>3172</v>
      </c>
      <c r="B3556" s="1">
        <v>1618713</v>
      </c>
      <c r="C3556" s="1">
        <v>6189</v>
      </c>
      <c r="D3556" s="2">
        <v>42453</v>
      </c>
      <c r="E3556" s="1" t="s">
        <v>18</v>
      </c>
      <c r="F3556" t="str">
        <f>HYPERLINK("http://www.sec.gov/Archives/edgar/data/1618713/0001056404-16-003651-index.html")</f>
        <v>http://www.sec.gov/Archives/edgar/data/1618713/0001056404-16-003651-index.html</v>
      </c>
    </row>
    <row r="3557" spans="1:6" x14ac:dyDescent="0.2">
      <c r="A3557" t="s">
        <v>3173</v>
      </c>
      <c r="B3557" s="1">
        <v>1623838</v>
      </c>
      <c r="C3557" s="1">
        <v>6189</v>
      </c>
      <c r="D3557" s="2">
        <v>42453</v>
      </c>
      <c r="E3557" s="1" t="s">
        <v>18</v>
      </c>
      <c r="F3557" t="str">
        <f>HYPERLINK("http://www.sec.gov/Archives/edgar/data/1623838/0001056404-16-003636-index.html")</f>
        <v>http://www.sec.gov/Archives/edgar/data/1623838/0001056404-16-003636-index.html</v>
      </c>
    </row>
    <row r="3558" spans="1:6" x14ac:dyDescent="0.2">
      <c r="A3558" t="s">
        <v>2027</v>
      </c>
      <c r="B3558" s="1">
        <v>1626941</v>
      </c>
      <c r="C3558" s="1">
        <v>6189</v>
      </c>
      <c r="D3558" s="2">
        <v>42453</v>
      </c>
      <c r="E3558" s="1" t="s">
        <v>18</v>
      </c>
      <c r="F3558" t="str">
        <f>HYPERLINK("http://www.sec.gov/Archives/edgar/data/1626941/0001056404-16-003656-index.html")</f>
        <v>http://www.sec.gov/Archives/edgar/data/1626941/0001056404-16-003656-index.html</v>
      </c>
    </row>
    <row r="3559" spans="1:6" x14ac:dyDescent="0.2">
      <c r="A3559" t="s">
        <v>3174</v>
      </c>
      <c r="B3559" s="1">
        <v>1628112</v>
      </c>
      <c r="C3559" s="1">
        <v>6189</v>
      </c>
      <c r="D3559" s="2">
        <v>42453</v>
      </c>
      <c r="E3559" s="1" t="s">
        <v>18</v>
      </c>
      <c r="F3559" t="str">
        <f>HYPERLINK("http://www.sec.gov/Archives/edgar/data/1628112/0001056404-16-003599-index.html")</f>
        <v>http://www.sec.gov/Archives/edgar/data/1628112/0001056404-16-003599-index.html</v>
      </c>
    </row>
    <row r="3560" spans="1:6" x14ac:dyDescent="0.2">
      <c r="A3560" t="s">
        <v>3175</v>
      </c>
      <c r="B3560" s="1">
        <v>1630391</v>
      </c>
      <c r="C3560" s="1">
        <v>3630</v>
      </c>
      <c r="D3560" s="2">
        <v>42453</v>
      </c>
      <c r="E3560" s="1" t="s">
        <v>18</v>
      </c>
      <c r="F3560" t="str">
        <f>HYPERLINK("http://www.sec.gov/Archives/edgar/data/1630391/0001019687-16-005558-index.html")</f>
        <v>http://www.sec.gov/Archives/edgar/data/1630391/0001019687-16-005558-index.html</v>
      </c>
    </row>
    <row r="3561" spans="1:6" x14ac:dyDescent="0.2">
      <c r="A3561" t="s">
        <v>3176</v>
      </c>
      <c r="B3561" s="1">
        <v>1630477</v>
      </c>
      <c r="C3561" s="1">
        <v>6189</v>
      </c>
      <c r="D3561" s="2">
        <v>42453</v>
      </c>
      <c r="E3561" s="1" t="s">
        <v>18</v>
      </c>
      <c r="F3561" t="str">
        <f>HYPERLINK("http://www.sec.gov/Archives/edgar/data/1630477/0001056404-16-003676-index.html")</f>
        <v>http://www.sec.gov/Archives/edgar/data/1630477/0001056404-16-003676-index.html</v>
      </c>
    </row>
    <row r="3562" spans="1:6" x14ac:dyDescent="0.2">
      <c r="A3562" t="s">
        <v>3177</v>
      </c>
      <c r="B3562" s="1">
        <v>1632814</v>
      </c>
      <c r="C3562" s="1">
        <v>6189</v>
      </c>
      <c r="D3562" s="2">
        <v>42453</v>
      </c>
      <c r="E3562" s="1" t="s">
        <v>18</v>
      </c>
      <c r="F3562" t="str">
        <f>HYPERLINK("http://www.sec.gov/Archives/edgar/data/1632814/0001056404-16-003593-index.html")</f>
        <v>http://www.sec.gov/Archives/edgar/data/1632814/0001056404-16-003593-index.html</v>
      </c>
    </row>
    <row r="3563" spans="1:6" x14ac:dyDescent="0.2">
      <c r="A3563" t="s">
        <v>3178</v>
      </c>
      <c r="B3563" s="1">
        <v>1635569</v>
      </c>
      <c r="C3563" s="1">
        <v>6189</v>
      </c>
      <c r="D3563" s="2">
        <v>42453</v>
      </c>
      <c r="E3563" s="1" t="s">
        <v>18</v>
      </c>
      <c r="F3563" t="str">
        <f>HYPERLINK("http://www.sec.gov/Archives/edgar/data/1635569/0001056404-16-003589-index.html")</f>
        <v>http://www.sec.gov/Archives/edgar/data/1635569/0001056404-16-003589-index.html</v>
      </c>
    </row>
    <row r="3564" spans="1:6" x14ac:dyDescent="0.2">
      <c r="A3564" t="s">
        <v>3179</v>
      </c>
      <c r="B3564" s="1">
        <v>1635863</v>
      </c>
      <c r="C3564" s="1">
        <v>7011</v>
      </c>
      <c r="D3564" s="2">
        <v>42453</v>
      </c>
      <c r="E3564" s="1" t="s">
        <v>42</v>
      </c>
      <c r="F3564" t="str">
        <f>HYPERLINK("http://www.sec.gov/Archives/edgar/data/1635863/0001635863-16-000020-index.html")</f>
        <v>http://www.sec.gov/Archives/edgar/data/1635863/0001635863-16-000020-index.html</v>
      </c>
    </row>
    <row r="3565" spans="1:6" x14ac:dyDescent="0.2">
      <c r="A3565" t="s">
        <v>3180</v>
      </c>
      <c r="B3565" s="1">
        <v>1640052</v>
      </c>
      <c r="C3565" s="1">
        <v>6189</v>
      </c>
      <c r="D3565" s="2">
        <v>42453</v>
      </c>
      <c r="E3565" s="1" t="s">
        <v>18</v>
      </c>
      <c r="F3565" t="str">
        <f>HYPERLINK("http://www.sec.gov/Archives/edgar/data/1640052/0001056404-16-003609-index.html")</f>
        <v>http://www.sec.gov/Archives/edgar/data/1640052/0001056404-16-003609-index.html</v>
      </c>
    </row>
    <row r="3566" spans="1:6" x14ac:dyDescent="0.2">
      <c r="A3566" t="s">
        <v>3181</v>
      </c>
      <c r="B3566" s="1">
        <v>1641614</v>
      </c>
      <c r="C3566" s="1">
        <v>6153</v>
      </c>
      <c r="D3566" s="2">
        <v>42453</v>
      </c>
      <c r="E3566" s="1" t="s">
        <v>18</v>
      </c>
      <c r="F3566" t="str">
        <f>HYPERLINK("http://www.sec.gov/Archives/edgar/data/1641614/0001558370-16-004343-index.html")</f>
        <v>http://www.sec.gov/Archives/edgar/data/1641614/0001558370-16-004343-index.html</v>
      </c>
    </row>
    <row r="3567" spans="1:6" x14ac:dyDescent="0.2">
      <c r="A3567" t="s">
        <v>3182</v>
      </c>
      <c r="B3567" s="1">
        <v>1642122</v>
      </c>
      <c r="C3567" s="1">
        <v>6211</v>
      </c>
      <c r="D3567" s="2">
        <v>42453</v>
      </c>
      <c r="E3567" s="1" t="s">
        <v>18</v>
      </c>
      <c r="F3567" t="str">
        <f>HYPERLINK("http://www.sec.gov/Archives/edgar/data/1642122/0001060349-16-000045-index.html")</f>
        <v>http://www.sec.gov/Archives/edgar/data/1642122/0001060349-16-000045-index.html</v>
      </c>
    </row>
    <row r="3568" spans="1:6" x14ac:dyDescent="0.2">
      <c r="A3568" t="s">
        <v>3183</v>
      </c>
      <c r="B3568" s="1">
        <v>1643293</v>
      </c>
      <c r="C3568" s="1">
        <v>6189</v>
      </c>
      <c r="D3568" s="2">
        <v>42453</v>
      </c>
      <c r="E3568" s="1" t="s">
        <v>18</v>
      </c>
      <c r="F3568" t="str">
        <f>HYPERLINK("http://www.sec.gov/Archives/edgar/data/1643293/0001020242-16-000322-index.html")</f>
        <v>http://www.sec.gov/Archives/edgar/data/1643293/0001020242-16-000322-index.html</v>
      </c>
    </row>
    <row r="3569" spans="1:6" x14ac:dyDescent="0.2">
      <c r="A3569" t="s">
        <v>2003</v>
      </c>
      <c r="B3569" s="1">
        <v>1643873</v>
      </c>
      <c r="C3569" s="1">
        <v>6189</v>
      </c>
      <c r="D3569" s="2">
        <v>42453</v>
      </c>
      <c r="E3569" s="1" t="s">
        <v>18</v>
      </c>
      <c r="F3569" t="str">
        <f>HYPERLINK("http://www.sec.gov/Archives/edgar/data/1643873/0001056404-16-003622-index.html")</f>
        <v>http://www.sec.gov/Archives/edgar/data/1643873/0001056404-16-003622-index.html</v>
      </c>
    </row>
    <row r="3570" spans="1:6" x14ac:dyDescent="0.2">
      <c r="A3570" t="s">
        <v>3184</v>
      </c>
      <c r="B3570" s="1">
        <v>1645026</v>
      </c>
      <c r="C3570" s="1">
        <v>6189</v>
      </c>
      <c r="D3570" s="2">
        <v>42453</v>
      </c>
      <c r="E3570" s="1" t="s">
        <v>18</v>
      </c>
      <c r="F3570" t="str">
        <f>HYPERLINK("http://www.sec.gov/Archives/edgar/data/1645026/0001645026-16-000006-index.html")</f>
        <v>http://www.sec.gov/Archives/edgar/data/1645026/0001645026-16-000006-index.html</v>
      </c>
    </row>
    <row r="3571" spans="1:6" x14ac:dyDescent="0.2">
      <c r="A3571" t="s">
        <v>3185</v>
      </c>
      <c r="B3571" s="1">
        <v>1645384</v>
      </c>
      <c r="C3571" s="1">
        <v>6189</v>
      </c>
      <c r="D3571" s="2">
        <v>42453</v>
      </c>
      <c r="E3571" s="1" t="s">
        <v>18</v>
      </c>
      <c r="F3571" t="str">
        <f>HYPERLINK("http://www.sec.gov/Archives/edgar/data/1645384/0001056404-16-003620-index.html")</f>
        <v>http://www.sec.gov/Archives/edgar/data/1645384/0001056404-16-003620-index.html</v>
      </c>
    </row>
    <row r="3572" spans="1:6" x14ac:dyDescent="0.2">
      <c r="A3572" t="s">
        <v>2004</v>
      </c>
      <c r="B3572" s="1">
        <v>1647587</v>
      </c>
      <c r="C3572" s="1">
        <v>6189</v>
      </c>
      <c r="D3572" s="2">
        <v>42453</v>
      </c>
      <c r="E3572" s="1" t="s">
        <v>18</v>
      </c>
      <c r="F3572" t="str">
        <f>HYPERLINK("http://www.sec.gov/Archives/edgar/data/1647587/0001056404-16-003672-index.html")</f>
        <v>http://www.sec.gov/Archives/edgar/data/1647587/0001056404-16-003672-index.html</v>
      </c>
    </row>
    <row r="3573" spans="1:6" x14ac:dyDescent="0.2">
      <c r="A3573" t="s">
        <v>2005</v>
      </c>
      <c r="B3573" s="1">
        <v>1648858</v>
      </c>
      <c r="C3573" s="1">
        <v>6189</v>
      </c>
      <c r="D3573" s="2">
        <v>42453</v>
      </c>
      <c r="E3573" s="1" t="s">
        <v>18</v>
      </c>
      <c r="F3573" t="str">
        <f>HYPERLINK("http://www.sec.gov/Archives/edgar/data/1648858/0001056404-16-003677-index.html")</f>
        <v>http://www.sec.gov/Archives/edgar/data/1648858/0001056404-16-003677-index.html</v>
      </c>
    </row>
    <row r="3574" spans="1:6" x14ac:dyDescent="0.2">
      <c r="A3574" t="s">
        <v>3186</v>
      </c>
      <c r="B3574" s="1">
        <v>1648955</v>
      </c>
      <c r="C3574" s="1">
        <v>6770</v>
      </c>
      <c r="D3574" s="2">
        <v>42453</v>
      </c>
      <c r="E3574" s="1" t="s">
        <v>18</v>
      </c>
      <c r="F3574" t="str">
        <f>HYPERLINK("http://www.sec.gov/Archives/edgar/data/1648955/0001213900-16-011863-index.html")</f>
        <v>http://www.sec.gov/Archives/edgar/data/1648955/0001213900-16-011863-index.html</v>
      </c>
    </row>
    <row r="3575" spans="1:6" x14ac:dyDescent="0.2">
      <c r="A3575" t="s">
        <v>2006</v>
      </c>
      <c r="B3575" s="1">
        <v>1651164</v>
      </c>
      <c r="C3575" s="1">
        <v>6189</v>
      </c>
      <c r="D3575" s="2">
        <v>42453</v>
      </c>
      <c r="E3575" s="1" t="s">
        <v>18</v>
      </c>
      <c r="F3575" t="str">
        <f>HYPERLINK("http://www.sec.gov/Archives/edgar/data/1651164/0001056404-16-003605-index.html")</f>
        <v>http://www.sec.gov/Archives/edgar/data/1651164/0001056404-16-003605-index.html</v>
      </c>
    </row>
    <row r="3576" spans="1:6" x14ac:dyDescent="0.2">
      <c r="A3576" t="s">
        <v>3187</v>
      </c>
      <c r="B3576" s="1">
        <v>1654330</v>
      </c>
      <c r="C3576" s="1">
        <v>6189</v>
      </c>
      <c r="D3576" s="2">
        <v>42453</v>
      </c>
      <c r="E3576" s="1" t="s">
        <v>18</v>
      </c>
      <c r="F3576" t="str">
        <f>HYPERLINK("http://www.sec.gov/Archives/edgar/data/1654330/0001056404-16-003608-index.html")</f>
        <v>http://www.sec.gov/Archives/edgar/data/1654330/0001056404-16-003608-index.html</v>
      </c>
    </row>
    <row r="3577" spans="1:6" x14ac:dyDescent="0.2">
      <c r="A3577" t="s">
        <v>2007</v>
      </c>
      <c r="B3577" s="1">
        <v>1656681</v>
      </c>
      <c r="C3577" s="1">
        <v>6189</v>
      </c>
      <c r="D3577" s="2">
        <v>42453</v>
      </c>
      <c r="E3577" s="1" t="s">
        <v>18</v>
      </c>
      <c r="F3577" t="str">
        <f>HYPERLINK("http://www.sec.gov/Archives/edgar/data/1656681/0001056404-16-003612-index.html")</f>
        <v>http://www.sec.gov/Archives/edgar/data/1656681/0001056404-16-003612-index.html</v>
      </c>
    </row>
    <row r="3578" spans="1:6" x14ac:dyDescent="0.2">
      <c r="A3578" t="s">
        <v>3188</v>
      </c>
      <c r="B3578" s="1">
        <v>18255</v>
      </c>
      <c r="C3578" s="1">
        <v>5621</v>
      </c>
      <c r="D3578" s="2">
        <v>42453</v>
      </c>
      <c r="E3578" s="1" t="s">
        <v>18</v>
      </c>
      <c r="F3578" t="str">
        <f>HYPERLINK("http://www.sec.gov/Archives/edgar/data/18255/0000018255-16-000062-index.html")</f>
        <v>http://www.sec.gov/Archives/edgar/data/18255/0000018255-16-000062-index.html</v>
      </c>
    </row>
    <row r="3579" spans="1:6" x14ac:dyDescent="0.2">
      <c r="A3579" t="s">
        <v>3189</v>
      </c>
      <c r="B3579" s="1">
        <v>24090</v>
      </c>
      <c r="C3579" s="1">
        <v>6311</v>
      </c>
      <c r="D3579" s="2">
        <v>42453</v>
      </c>
      <c r="E3579" s="1" t="s">
        <v>18</v>
      </c>
      <c r="F3579" t="str">
        <f>HYPERLINK("http://www.sec.gov/Archives/edgar/data/24090/0000024090-16-000049-index.html")</f>
        <v>http://www.sec.gov/Archives/edgar/data/24090/0000024090-16-000049-index.html</v>
      </c>
    </row>
    <row r="3580" spans="1:6" x14ac:dyDescent="0.2">
      <c r="A3580" t="s">
        <v>3190</v>
      </c>
      <c r="B3580" s="1">
        <v>33992</v>
      </c>
      <c r="C3580" s="1">
        <v>6331</v>
      </c>
      <c r="D3580" s="2">
        <v>42453</v>
      </c>
      <c r="E3580" s="1" t="s">
        <v>18</v>
      </c>
      <c r="F3580" t="str">
        <f>HYPERLINK("http://www.sec.gov/Archives/edgar/data/33992/0001354488-16-006655-index.html")</f>
        <v>http://www.sec.gov/Archives/edgar/data/33992/0001354488-16-006655-index.html</v>
      </c>
    </row>
    <row r="3581" spans="1:6" x14ac:dyDescent="0.2">
      <c r="A3581" t="s">
        <v>3191</v>
      </c>
      <c r="B3581" s="1">
        <v>354647</v>
      </c>
      <c r="C3581" s="1">
        <v>6022</v>
      </c>
      <c r="D3581" s="2">
        <v>42453</v>
      </c>
      <c r="E3581" s="1" t="s">
        <v>42</v>
      </c>
      <c r="F3581" t="str">
        <f>HYPERLINK("http://www.sec.gov/Archives/edgar/data/354647/0001193125-16-517082-index.html")</f>
        <v>http://www.sec.gov/Archives/edgar/data/354647/0001193125-16-517082-index.html</v>
      </c>
    </row>
    <row r="3582" spans="1:6" x14ac:dyDescent="0.2">
      <c r="A3582" t="s">
        <v>3192</v>
      </c>
      <c r="B3582" s="1">
        <v>354950</v>
      </c>
      <c r="C3582" s="1">
        <v>5211</v>
      </c>
      <c r="D3582" s="2">
        <v>42453</v>
      </c>
      <c r="E3582" s="1" t="s">
        <v>18</v>
      </c>
      <c r="F3582" t="str">
        <f>HYPERLINK("http://www.sec.gov/Archives/edgar/data/354950/0000354950-16-000060-index.html")</f>
        <v>http://www.sec.gov/Archives/edgar/data/354950/0000354950-16-000060-index.html</v>
      </c>
    </row>
    <row r="3583" spans="1:6" x14ac:dyDescent="0.2">
      <c r="A3583" t="s">
        <v>3193</v>
      </c>
      <c r="B3583" s="1">
        <v>38079</v>
      </c>
      <c r="C3583" s="1">
        <v>1311</v>
      </c>
      <c r="D3583" s="2">
        <v>42453</v>
      </c>
      <c r="E3583" s="1" t="s">
        <v>18</v>
      </c>
      <c r="F3583" t="str">
        <f>HYPERLINK("http://www.sec.gov/Archives/edgar/data/38079/0001558370-16-004332-index.html")</f>
        <v>http://www.sec.gov/Archives/edgar/data/38079/0001558370-16-004332-index.html</v>
      </c>
    </row>
    <row r="3584" spans="1:6" x14ac:dyDescent="0.2">
      <c r="A3584" t="s">
        <v>3194</v>
      </c>
      <c r="B3584" s="1">
        <v>53320</v>
      </c>
      <c r="C3584" s="1">
        <v>7372</v>
      </c>
      <c r="D3584" s="2">
        <v>42453</v>
      </c>
      <c r="E3584" s="1" t="s">
        <v>18</v>
      </c>
      <c r="F3584" t="str">
        <f>HYPERLINK("http://www.sec.gov/Archives/edgar/data/53320/0001472375-16-000298-index.html")</f>
        <v>http://www.sec.gov/Archives/edgar/data/53320/0001472375-16-000298-index.html</v>
      </c>
    </row>
    <row r="3585" spans="1:6" x14ac:dyDescent="0.2">
      <c r="A3585" t="s">
        <v>3195</v>
      </c>
      <c r="B3585" s="1">
        <v>768710</v>
      </c>
      <c r="C3585" s="1">
        <v>2834</v>
      </c>
      <c r="D3585" s="2">
        <v>42453</v>
      </c>
      <c r="E3585" s="1" t="s">
        <v>18</v>
      </c>
      <c r="F3585" t="str">
        <f>HYPERLINK("http://www.sec.gov/Archives/edgar/data/768710/0001144204-16-089980-index.html")</f>
        <v>http://www.sec.gov/Archives/edgar/data/768710/0001144204-16-089980-index.html</v>
      </c>
    </row>
    <row r="3586" spans="1:6" x14ac:dyDescent="0.2">
      <c r="A3586" t="s">
        <v>3196</v>
      </c>
      <c r="B3586" s="1">
        <v>769131</v>
      </c>
      <c r="C3586" s="1">
        <v>6500</v>
      </c>
      <c r="D3586" s="2">
        <v>42453</v>
      </c>
      <c r="E3586" s="1" t="s">
        <v>18</v>
      </c>
      <c r="F3586" t="str">
        <f>HYPERLINK("http://www.sec.gov/Archives/edgar/data/769131/0001144204-16-089886-index.html")</f>
        <v>http://www.sec.gov/Archives/edgar/data/769131/0001144204-16-089886-index.html</v>
      </c>
    </row>
    <row r="3587" spans="1:6" x14ac:dyDescent="0.2">
      <c r="A3587" t="s">
        <v>3197</v>
      </c>
      <c r="B3587" s="1">
        <v>774569</v>
      </c>
      <c r="C3587" s="1">
        <v>6035</v>
      </c>
      <c r="D3587" s="2">
        <v>42453</v>
      </c>
      <c r="E3587" s="1" t="s">
        <v>18</v>
      </c>
      <c r="F3587" t="str">
        <f>HYPERLINK("http://www.sec.gov/Archives/edgar/data/774569/0001564590-16-015228-index.html")</f>
        <v>http://www.sec.gov/Archives/edgar/data/774569/0001564590-16-015228-index.html</v>
      </c>
    </row>
    <row r="3588" spans="1:6" x14ac:dyDescent="0.2">
      <c r="A3588" t="s">
        <v>3198</v>
      </c>
      <c r="B3588" s="1">
        <v>790703</v>
      </c>
      <c r="C3588" s="1">
        <v>5045</v>
      </c>
      <c r="D3588" s="2">
        <v>42453</v>
      </c>
      <c r="E3588" s="1" t="s">
        <v>18</v>
      </c>
      <c r="F3588" t="str">
        <f>HYPERLINK("http://www.sec.gov/Archives/edgar/data/790703/0000790703-16-000030-index.html")</f>
        <v>http://www.sec.gov/Archives/edgar/data/790703/0000790703-16-000030-index.html</v>
      </c>
    </row>
    <row r="3589" spans="1:6" x14ac:dyDescent="0.2">
      <c r="A3589" t="s">
        <v>3199</v>
      </c>
      <c r="B3589" s="1">
        <v>806888</v>
      </c>
      <c r="C3589" s="1">
        <v>8734</v>
      </c>
      <c r="D3589" s="2">
        <v>42453</v>
      </c>
      <c r="E3589" s="1" t="s">
        <v>18</v>
      </c>
      <c r="F3589" t="str">
        <f>HYPERLINK("http://www.sec.gov/Archives/edgar/data/806888/0001437749-16-028368-index.html")</f>
        <v>http://www.sec.gov/Archives/edgar/data/806888/0001437749-16-028368-index.html</v>
      </c>
    </row>
    <row r="3590" spans="1:6" x14ac:dyDescent="0.2">
      <c r="A3590" t="s">
        <v>3200</v>
      </c>
      <c r="B3590" s="1">
        <v>812796</v>
      </c>
      <c r="C3590" s="1">
        <v>2834</v>
      </c>
      <c r="D3590" s="2">
        <v>42453</v>
      </c>
      <c r="E3590" s="1" t="s">
        <v>18</v>
      </c>
      <c r="F3590" t="str">
        <f>HYPERLINK("http://www.sec.gov/Archives/edgar/data/812796/0001213900-16-011833-index.html")</f>
        <v>http://www.sec.gov/Archives/edgar/data/812796/0001213900-16-011833-index.html</v>
      </c>
    </row>
    <row r="3591" spans="1:6" x14ac:dyDescent="0.2">
      <c r="A3591" t="s">
        <v>3201</v>
      </c>
      <c r="B3591" s="1">
        <v>829325</v>
      </c>
      <c r="C3591" s="1">
        <v>5810</v>
      </c>
      <c r="D3591" s="2">
        <v>42453</v>
      </c>
      <c r="E3591" s="1" t="s">
        <v>18</v>
      </c>
      <c r="F3591" t="str">
        <f>HYPERLINK("http://www.sec.gov/Archives/edgar/data/829325/0001262463-16-000892-index.html")</f>
        <v>http://www.sec.gov/Archives/edgar/data/829325/0001262463-16-000892-index.html</v>
      </c>
    </row>
    <row r="3592" spans="1:6" x14ac:dyDescent="0.2">
      <c r="A3592" t="s">
        <v>3202</v>
      </c>
      <c r="B3592" s="1">
        <v>832988</v>
      </c>
      <c r="C3592" s="1">
        <v>5944</v>
      </c>
      <c r="D3592" s="2">
        <v>42453</v>
      </c>
      <c r="E3592" s="1" t="s">
        <v>18</v>
      </c>
      <c r="F3592" t="str">
        <f>HYPERLINK("http://www.sec.gov/Archives/edgar/data/832988/0001628280-16-012998-index.html")</f>
        <v>http://www.sec.gov/Archives/edgar/data/832988/0001628280-16-012998-index.html</v>
      </c>
    </row>
    <row r="3593" spans="1:6" x14ac:dyDescent="0.2">
      <c r="A3593" t="s">
        <v>3203</v>
      </c>
      <c r="B3593" s="1">
        <v>846913</v>
      </c>
      <c r="C3593" s="1">
        <v>3564</v>
      </c>
      <c r="D3593" s="2">
        <v>42453</v>
      </c>
      <c r="E3593" s="1" t="s">
        <v>18</v>
      </c>
      <c r="F3593" t="str">
        <f>HYPERLINK("http://www.sec.gov/Archives/edgar/data/846913/0000846913-16-000116-index.html")</f>
        <v>http://www.sec.gov/Archives/edgar/data/846913/0000846913-16-000116-index.html</v>
      </c>
    </row>
    <row r="3594" spans="1:6" x14ac:dyDescent="0.2">
      <c r="A3594" t="s">
        <v>3204</v>
      </c>
      <c r="B3594" s="1">
        <v>850209</v>
      </c>
      <c r="C3594" s="1">
        <v>5661</v>
      </c>
      <c r="D3594" s="2">
        <v>42453</v>
      </c>
      <c r="E3594" s="1" t="s">
        <v>18</v>
      </c>
      <c r="F3594" t="str">
        <f>HYPERLINK("http://www.sec.gov/Archives/edgar/data/850209/0001144204-16-090138-index.html")</f>
        <v>http://www.sec.gov/Archives/edgar/data/850209/0001144204-16-090138-index.html</v>
      </c>
    </row>
    <row r="3595" spans="1:6" x14ac:dyDescent="0.2">
      <c r="A3595" t="s">
        <v>3205</v>
      </c>
      <c r="B3595" s="1">
        <v>851310</v>
      </c>
      <c r="C3595" s="1">
        <v>3663</v>
      </c>
      <c r="D3595" s="2">
        <v>42453</v>
      </c>
      <c r="E3595" s="1" t="s">
        <v>18</v>
      </c>
      <c r="F3595" t="str">
        <f>HYPERLINK("http://www.sec.gov/Archives/edgar/data/851310/0000851310-16-000079-index.html")</f>
        <v>http://www.sec.gov/Archives/edgar/data/851310/0000851310-16-000079-index.html</v>
      </c>
    </row>
    <row r="3596" spans="1:6" x14ac:dyDescent="0.2">
      <c r="A3596" t="s">
        <v>3206</v>
      </c>
      <c r="B3596" s="1">
        <v>858800</v>
      </c>
      <c r="C3596" s="1">
        <v>6021</v>
      </c>
      <c r="D3596" s="2">
        <v>42453</v>
      </c>
      <c r="E3596" s="1" t="s">
        <v>18</v>
      </c>
      <c r="F3596" t="str">
        <f>HYPERLINK("http://www.sec.gov/Archives/edgar/data/858800/0001144204-16-089928-index.html")</f>
        <v>http://www.sec.gov/Archives/edgar/data/858800/0001144204-16-089928-index.html</v>
      </c>
    </row>
    <row r="3597" spans="1:6" x14ac:dyDescent="0.2">
      <c r="A3597" t="s">
        <v>3207</v>
      </c>
      <c r="B3597" s="1">
        <v>878004</v>
      </c>
      <c r="C3597" s="1">
        <v>4911</v>
      </c>
      <c r="D3597" s="2">
        <v>42453</v>
      </c>
      <c r="E3597" s="1" t="s">
        <v>18</v>
      </c>
      <c r="F3597" t="str">
        <f>HYPERLINK("http://www.sec.gov/Archives/edgar/data/878004/0000878004-16-000026-index.html")</f>
        <v>http://www.sec.gov/Archives/edgar/data/878004/0000878004-16-000026-index.html</v>
      </c>
    </row>
    <row r="3598" spans="1:6" x14ac:dyDescent="0.2">
      <c r="A3598" t="s">
        <v>3208</v>
      </c>
      <c r="B3598" s="1">
        <v>879682</v>
      </c>
      <c r="C3598" s="1">
        <v>3845</v>
      </c>
      <c r="D3598" s="2">
        <v>42453</v>
      </c>
      <c r="E3598" s="1" t="s">
        <v>18</v>
      </c>
      <c r="F3598" t="str">
        <f>HYPERLINK("http://www.sec.gov/Archives/edgar/data/879682/0001437749-16-028367-index.html")</f>
        <v>http://www.sec.gov/Archives/edgar/data/879682/0001437749-16-028367-index.html</v>
      </c>
    </row>
    <row r="3599" spans="1:6" x14ac:dyDescent="0.2">
      <c r="A3599" t="s">
        <v>3209</v>
      </c>
      <c r="B3599" s="1">
        <v>880115</v>
      </c>
      <c r="C3599" s="1">
        <v>1311</v>
      </c>
      <c r="D3599" s="2">
        <v>42453</v>
      </c>
      <c r="E3599" s="1" t="s">
        <v>18</v>
      </c>
      <c r="F3599" t="str">
        <f>HYPERLINK("http://www.sec.gov/Archives/edgar/data/880115/0000880115-16-000052-index.html")</f>
        <v>http://www.sec.gov/Archives/edgar/data/880115/0000880115-16-000052-index.html</v>
      </c>
    </row>
    <row r="3600" spans="1:6" x14ac:dyDescent="0.2">
      <c r="A3600" t="s">
        <v>3210</v>
      </c>
      <c r="B3600" s="1">
        <v>880417</v>
      </c>
      <c r="C3600" s="1">
        <v>6022</v>
      </c>
      <c r="D3600" s="2">
        <v>42453</v>
      </c>
      <c r="E3600" s="1" t="s">
        <v>18</v>
      </c>
      <c r="F3600" t="str">
        <f>HYPERLINK("http://www.sec.gov/Archives/edgar/data/880417/0001193125-16-516446-index.html")</f>
        <v>http://www.sec.gov/Archives/edgar/data/880417/0001193125-16-516446-index.html</v>
      </c>
    </row>
    <row r="3601" spans="1:6" x14ac:dyDescent="0.2">
      <c r="A3601" t="s">
        <v>3211</v>
      </c>
      <c r="B3601" s="1">
        <v>891532</v>
      </c>
      <c r="C3601" s="1">
        <v>4955</v>
      </c>
      <c r="D3601" s="2">
        <v>42453</v>
      </c>
      <c r="E3601" s="1" t="s">
        <v>18</v>
      </c>
      <c r="F3601" t="str">
        <f>HYPERLINK("http://www.sec.gov/Archives/edgar/data/891532/0001437749-16-028356-index.html")</f>
        <v>http://www.sec.gov/Archives/edgar/data/891532/0001437749-16-028356-index.html</v>
      </c>
    </row>
    <row r="3602" spans="1:6" x14ac:dyDescent="0.2">
      <c r="A3602" t="s">
        <v>3212</v>
      </c>
      <c r="B3602" s="1">
        <v>918580</v>
      </c>
      <c r="C3602" s="1">
        <v>3944</v>
      </c>
      <c r="D3602" s="2">
        <v>42453</v>
      </c>
      <c r="E3602" s="1" t="s">
        <v>18</v>
      </c>
      <c r="F3602" t="str">
        <f>HYPERLINK("http://www.sec.gov/Archives/edgar/data/918580/0001144204-16-089934-index.html")</f>
        <v>http://www.sec.gov/Archives/edgar/data/918580/0001144204-16-089934-index.html</v>
      </c>
    </row>
    <row r="3603" spans="1:6" x14ac:dyDescent="0.2">
      <c r="A3603" t="s">
        <v>3213</v>
      </c>
      <c r="B3603" s="1">
        <v>929545</v>
      </c>
      <c r="C3603" s="1">
        <v>6798</v>
      </c>
      <c r="D3603" s="2">
        <v>42453</v>
      </c>
      <c r="E3603" s="1" t="s">
        <v>18</v>
      </c>
      <c r="F3603" t="str">
        <f>HYPERLINK("http://www.sec.gov/Archives/edgar/data/929545/0000929545-16-000037-index.html")</f>
        <v>http://www.sec.gov/Archives/edgar/data/929545/0000929545-16-000037-index.html</v>
      </c>
    </row>
    <row r="3604" spans="1:6" x14ac:dyDescent="0.2">
      <c r="A3604" t="s">
        <v>3214</v>
      </c>
      <c r="B3604" s="1">
        <v>944075</v>
      </c>
      <c r="C3604" s="1">
        <v>3571</v>
      </c>
      <c r="D3604" s="2">
        <v>42453</v>
      </c>
      <c r="E3604" s="1" t="s">
        <v>18</v>
      </c>
      <c r="F3604" t="str">
        <f>HYPERLINK("http://www.sec.gov/Archives/edgar/data/944075/0000944075-16-000054-index.html")</f>
        <v>http://www.sec.gov/Archives/edgar/data/944075/0000944075-16-000054-index.html</v>
      </c>
    </row>
    <row r="3605" spans="1:6" x14ac:dyDescent="0.2">
      <c r="A3605" t="s">
        <v>3215</v>
      </c>
      <c r="B3605" s="1">
        <v>1065059</v>
      </c>
      <c r="C3605" s="1">
        <v>1400</v>
      </c>
      <c r="D3605" s="2">
        <v>42452</v>
      </c>
      <c r="E3605" s="1" t="s">
        <v>18</v>
      </c>
      <c r="F3605" t="str">
        <f>HYPERLINK("http://www.sec.gov/Archives/edgar/data/1065059/0001065059-16-000061-index.html")</f>
        <v>http://www.sec.gov/Archives/edgar/data/1065059/0001065059-16-000061-index.html</v>
      </c>
    </row>
    <row r="3606" spans="1:6" x14ac:dyDescent="0.2">
      <c r="A3606" t="s">
        <v>3216</v>
      </c>
      <c r="B3606" s="1">
        <v>1068148</v>
      </c>
      <c r="C3606" s="1">
        <v>3460</v>
      </c>
      <c r="D3606" s="2">
        <v>42452</v>
      </c>
      <c r="E3606" s="1" t="s">
        <v>18</v>
      </c>
      <c r="F3606" t="str">
        <f>HYPERLINK("http://www.sec.gov/Archives/edgar/data/1068148/0001068148-16-000030-index.html")</f>
        <v>http://www.sec.gov/Archives/edgar/data/1068148/0001068148-16-000030-index.html</v>
      </c>
    </row>
    <row r="3607" spans="1:6" x14ac:dyDescent="0.2">
      <c r="A3607" t="s">
        <v>3217</v>
      </c>
      <c r="B3607" s="1">
        <v>1070680</v>
      </c>
      <c r="C3607" s="1">
        <v>6035</v>
      </c>
      <c r="D3607" s="2">
        <v>42452</v>
      </c>
      <c r="E3607" s="1" t="s">
        <v>18</v>
      </c>
      <c r="F3607" t="str">
        <f>HYPERLINK("http://www.sec.gov/Archives/edgar/data/1070680/0001070680-16-000051-index.html")</f>
        <v>http://www.sec.gov/Archives/edgar/data/1070680/0001070680-16-000051-index.html</v>
      </c>
    </row>
    <row r="3608" spans="1:6" x14ac:dyDescent="0.2">
      <c r="A3608" t="s">
        <v>3218</v>
      </c>
      <c r="B3608" s="1">
        <v>1076522</v>
      </c>
      <c r="C3608" s="1">
        <v>5961</v>
      </c>
      <c r="D3608" s="2">
        <v>42452</v>
      </c>
      <c r="E3608" s="1" t="s">
        <v>18</v>
      </c>
      <c r="F3608" t="str">
        <f>HYPERLINK("http://www.sec.gov/Archives/edgar/data/1076522/0001493152-16-008216-index.html")</f>
        <v>http://www.sec.gov/Archives/edgar/data/1076522/0001493152-16-008216-index.html</v>
      </c>
    </row>
    <row r="3609" spans="1:6" x14ac:dyDescent="0.2">
      <c r="A3609" t="s">
        <v>3219</v>
      </c>
      <c r="B3609" s="1">
        <v>1088825</v>
      </c>
      <c r="C3609" s="1">
        <v>4841</v>
      </c>
      <c r="D3609" s="2">
        <v>42452</v>
      </c>
      <c r="E3609" s="1" t="s">
        <v>18</v>
      </c>
      <c r="F3609" t="str">
        <f>HYPERLINK("http://www.sec.gov/Archives/edgar/data/1088825/0001088825-16-000243-index.html")</f>
        <v>http://www.sec.gov/Archives/edgar/data/1088825/0001088825-16-000243-index.html</v>
      </c>
    </row>
    <row r="3610" spans="1:6" x14ac:dyDescent="0.2">
      <c r="A3610" t="s">
        <v>3220</v>
      </c>
      <c r="B3610" s="1">
        <v>1101680</v>
      </c>
      <c r="C3610" s="1">
        <v>3661</v>
      </c>
      <c r="D3610" s="2">
        <v>42452</v>
      </c>
      <c r="E3610" s="1" t="s">
        <v>18</v>
      </c>
      <c r="F3610" t="str">
        <f>HYPERLINK("http://www.sec.gov/Archives/edgar/data/1101680/0001101680-16-000060-index.html")</f>
        <v>http://www.sec.gov/Archives/edgar/data/1101680/0001101680-16-000060-index.html</v>
      </c>
    </row>
    <row r="3611" spans="1:6" x14ac:dyDescent="0.2">
      <c r="A3611" t="s">
        <v>3221</v>
      </c>
      <c r="B3611" s="1">
        <v>1110795</v>
      </c>
      <c r="C3611" s="1">
        <v>6311</v>
      </c>
      <c r="D3611" s="2">
        <v>42452</v>
      </c>
      <c r="E3611" s="1" t="s">
        <v>18</v>
      </c>
      <c r="F3611" t="str">
        <f>HYPERLINK("http://www.sec.gov/Archives/edgar/data/1110795/0000937834-16-000085-index.html")</f>
        <v>http://www.sec.gov/Archives/edgar/data/1110795/0000937834-16-000085-index.html</v>
      </c>
    </row>
    <row r="3612" spans="1:6" x14ac:dyDescent="0.2">
      <c r="A3612" t="s">
        <v>3222</v>
      </c>
      <c r="B3612" s="1">
        <v>1127160</v>
      </c>
      <c r="C3612" s="1">
        <v>6022</v>
      </c>
      <c r="D3612" s="2">
        <v>42452</v>
      </c>
      <c r="E3612" s="1" t="s">
        <v>18</v>
      </c>
      <c r="F3612" t="str">
        <f>HYPERLINK("http://www.sec.gov/Archives/edgar/data/1127160/0001144204-16-089840-index.html")</f>
        <v>http://www.sec.gov/Archives/edgar/data/1127160/0001144204-16-089840-index.html</v>
      </c>
    </row>
    <row r="3613" spans="1:6" x14ac:dyDescent="0.2">
      <c r="A3613" t="s">
        <v>3223</v>
      </c>
      <c r="B3613" s="1">
        <v>1140215</v>
      </c>
      <c r="C3613" s="1">
        <v>2086</v>
      </c>
      <c r="D3613" s="2">
        <v>42452</v>
      </c>
      <c r="E3613" s="1" t="s">
        <v>18</v>
      </c>
      <c r="F3613" t="str">
        <f>HYPERLINK("http://www.sec.gov/Archives/edgar/data/1140215/0001493152-16-008215-index.html")</f>
        <v>http://www.sec.gov/Archives/edgar/data/1140215/0001493152-16-008215-index.html</v>
      </c>
    </row>
    <row r="3614" spans="1:6" x14ac:dyDescent="0.2">
      <c r="A3614" t="s">
        <v>3224</v>
      </c>
      <c r="B3614" s="1">
        <v>1167419</v>
      </c>
      <c r="C3614" s="1">
        <v>2835</v>
      </c>
      <c r="D3614" s="2">
        <v>42452</v>
      </c>
      <c r="E3614" s="1" t="s">
        <v>18</v>
      </c>
      <c r="F3614" t="str">
        <f>HYPERLINK("http://www.sec.gov/Archives/edgar/data/1167419/0001079973-16-000870-index.html")</f>
        <v>http://www.sec.gov/Archives/edgar/data/1167419/0001079973-16-000870-index.html</v>
      </c>
    </row>
    <row r="3615" spans="1:6" x14ac:dyDescent="0.2">
      <c r="A3615" t="s">
        <v>3225</v>
      </c>
      <c r="B3615" s="1">
        <v>1228386</v>
      </c>
      <c r="C3615" s="1">
        <v>8742</v>
      </c>
      <c r="D3615" s="2">
        <v>42452</v>
      </c>
      <c r="E3615" s="1" t="s">
        <v>18</v>
      </c>
      <c r="F3615" t="str">
        <f>HYPERLINK("http://www.sec.gov/Archives/edgar/data/1228386/0001017386-16-000377-index.html")</f>
        <v>http://www.sec.gov/Archives/edgar/data/1228386/0001017386-16-000377-index.html</v>
      </c>
    </row>
    <row r="3616" spans="1:6" x14ac:dyDescent="0.2">
      <c r="A3616" t="s">
        <v>3226</v>
      </c>
      <c r="B3616" s="1">
        <v>1229146</v>
      </c>
      <c r="C3616" s="1">
        <v>6022</v>
      </c>
      <c r="D3616" s="2">
        <v>42452</v>
      </c>
      <c r="E3616" s="1" t="s">
        <v>18</v>
      </c>
      <c r="F3616" t="str">
        <f>HYPERLINK("http://www.sec.gov/Archives/edgar/data/1229146/0001140361-16-058806-index.html")</f>
        <v>http://www.sec.gov/Archives/edgar/data/1229146/0001140361-16-058806-index.html</v>
      </c>
    </row>
    <row r="3617" spans="1:6" x14ac:dyDescent="0.2">
      <c r="A3617" t="s">
        <v>3227</v>
      </c>
      <c r="B3617" s="1">
        <v>1260125</v>
      </c>
      <c r="C3617" s="1">
        <v>6189</v>
      </c>
      <c r="D3617" s="2">
        <v>42452</v>
      </c>
      <c r="E3617" s="1" t="s">
        <v>18</v>
      </c>
      <c r="F3617" t="str">
        <f>HYPERLINK("http://www.sec.gov/Archives/edgar/data/1260125/0001144204-16-089809-index.html")</f>
        <v>http://www.sec.gov/Archives/edgar/data/1260125/0001144204-16-089809-index.html</v>
      </c>
    </row>
    <row r="3618" spans="1:6" x14ac:dyDescent="0.2">
      <c r="A3618" t="s">
        <v>3227</v>
      </c>
      <c r="B3618" s="1">
        <v>1260125</v>
      </c>
      <c r="C3618" s="1">
        <v>6189</v>
      </c>
      <c r="D3618" s="2">
        <v>42452</v>
      </c>
      <c r="E3618" s="1" t="s">
        <v>18</v>
      </c>
      <c r="F3618" t="str">
        <f>HYPERLINK("http://www.sec.gov/Archives/edgar/data/1260125/0001144204-16-089810-index.html")</f>
        <v>http://www.sec.gov/Archives/edgar/data/1260125/0001144204-16-089810-index.html</v>
      </c>
    </row>
    <row r="3619" spans="1:6" x14ac:dyDescent="0.2">
      <c r="A3619" t="s">
        <v>3227</v>
      </c>
      <c r="B3619" s="1">
        <v>1260125</v>
      </c>
      <c r="C3619" s="1">
        <v>6189</v>
      </c>
      <c r="D3619" s="2">
        <v>42452</v>
      </c>
      <c r="E3619" s="1" t="s">
        <v>18</v>
      </c>
      <c r="F3619" t="str">
        <f>HYPERLINK("http://www.sec.gov/Archives/edgar/data/1260125/0001144204-16-089811-index.html")</f>
        <v>http://www.sec.gov/Archives/edgar/data/1260125/0001144204-16-089811-index.html</v>
      </c>
    </row>
    <row r="3620" spans="1:6" x14ac:dyDescent="0.2">
      <c r="A3620" t="s">
        <v>3227</v>
      </c>
      <c r="B3620" s="1">
        <v>1260125</v>
      </c>
      <c r="C3620" s="1">
        <v>6189</v>
      </c>
      <c r="D3620" s="2">
        <v>42452</v>
      </c>
      <c r="E3620" s="1" t="s">
        <v>18</v>
      </c>
      <c r="F3620" t="str">
        <f>HYPERLINK("http://www.sec.gov/Archives/edgar/data/1260125/0001144204-16-089812-index.html")</f>
        <v>http://www.sec.gov/Archives/edgar/data/1260125/0001144204-16-089812-index.html</v>
      </c>
    </row>
    <row r="3621" spans="1:6" x14ac:dyDescent="0.2">
      <c r="A3621" t="s">
        <v>3227</v>
      </c>
      <c r="B3621" s="1">
        <v>1260125</v>
      </c>
      <c r="C3621" s="1">
        <v>6189</v>
      </c>
      <c r="D3621" s="2">
        <v>42452</v>
      </c>
      <c r="E3621" s="1" t="s">
        <v>18</v>
      </c>
      <c r="F3621" t="str">
        <f>HYPERLINK("http://www.sec.gov/Archives/edgar/data/1260125/0001144204-16-089813-index.html")</f>
        <v>http://www.sec.gov/Archives/edgar/data/1260125/0001144204-16-089813-index.html</v>
      </c>
    </row>
    <row r="3622" spans="1:6" x14ac:dyDescent="0.2">
      <c r="A3622" t="s">
        <v>3227</v>
      </c>
      <c r="B3622" s="1">
        <v>1260125</v>
      </c>
      <c r="C3622" s="1">
        <v>6189</v>
      </c>
      <c r="D3622" s="2">
        <v>42452</v>
      </c>
      <c r="E3622" s="1" t="s">
        <v>18</v>
      </c>
      <c r="F3622" t="str">
        <f>HYPERLINK("http://www.sec.gov/Archives/edgar/data/1260125/0001144204-16-089814-index.html")</f>
        <v>http://www.sec.gov/Archives/edgar/data/1260125/0001144204-16-089814-index.html</v>
      </c>
    </row>
    <row r="3623" spans="1:6" x14ac:dyDescent="0.2">
      <c r="A3623" t="s">
        <v>3227</v>
      </c>
      <c r="B3623" s="1">
        <v>1260125</v>
      </c>
      <c r="C3623" s="1">
        <v>6189</v>
      </c>
      <c r="D3623" s="2">
        <v>42452</v>
      </c>
      <c r="E3623" s="1" t="s">
        <v>18</v>
      </c>
      <c r="F3623" t="str">
        <f>HYPERLINK("http://www.sec.gov/Archives/edgar/data/1260125/0001144204-16-089815-index.html")</f>
        <v>http://www.sec.gov/Archives/edgar/data/1260125/0001144204-16-089815-index.html</v>
      </c>
    </row>
    <row r="3624" spans="1:6" x14ac:dyDescent="0.2">
      <c r="A3624" t="s">
        <v>3227</v>
      </c>
      <c r="B3624" s="1">
        <v>1260125</v>
      </c>
      <c r="C3624" s="1">
        <v>6189</v>
      </c>
      <c r="D3624" s="2">
        <v>42452</v>
      </c>
      <c r="E3624" s="1" t="s">
        <v>18</v>
      </c>
      <c r="F3624" t="str">
        <f>HYPERLINK("http://www.sec.gov/Archives/edgar/data/1260125/0001144204-16-089816-index.html")</f>
        <v>http://www.sec.gov/Archives/edgar/data/1260125/0001144204-16-089816-index.html</v>
      </c>
    </row>
    <row r="3625" spans="1:6" x14ac:dyDescent="0.2">
      <c r="A3625" t="s">
        <v>3227</v>
      </c>
      <c r="B3625" s="1">
        <v>1260125</v>
      </c>
      <c r="C3625" s="1">
        <v>6189</v>
      </c>
      <c r="D3625" s="2">
        <v>42452</v>
      </c>
      <c r="E3625" s="1" t="s">
        <v>18</v>
      </c>
      <c r="F3625" t="str">
        <f>HYPERLINK("http://www.sec.gov/Archives/edgar/data/1260125/0001144204-16-089817-index.html")</f>
        <v>http://www.sec.gov/Archives/edgar/data/1260125/0001144204-16-089817-index.html</v>
      </c>
    </row>
    <row r="3626" spans="1:6" x14ac:dyDescent="0.2">
      <c r="A3626" t="s">
        <v>3227</v>
      </c>
      <c r="B3626" s="1">
        <v>1260125</v>
      </c>
      <c r="C3626" s="1">
        <v>6189</v>
      </c>
      <c r="D3626" s="2">
        <v>42452</v>
      </c>
      <c r="E3626" s="1" t="s">
        <v>18</v>
      </c>
      <c r="F3626" t="str">
        <f>HYPERLINK("http://www.sec.gov/Archives/edgar/data/1260125/0001144204-16-089818-index.html")</f>
        <v>http://www.sec.gov/Archives/edgar/data/1260125/0001144204-16-089818-index.html</v>
      </c>
    </row>
    <row r="3627" spans="1:6" x14ac:dyDescent="0.2">
      <c r="A3627" t="s">
        <v>3227</v>
      </c>
      <c r="B3627" s="1">
        <v>1260125</v>
      </c>
      <c r="C3627" s="1">
        <v>6189</v>
      </c>
      <c r="D3627" s="2">
        <v>42452</v>
      </c>
      <c r="E3627" s="1" t="s">
        <v>18</v>
      </c>
      <c r="F3627" t="str">
        <f>HYPERLINK("http://www.sec.gov/Archives/edgar/data/1260125/0001144204-16-089819-index.html")</f>
        <v>http://www.sec.gov/Archives/edgar/data/1260125/0001144204-16-089819-index.html</v>
      </c>
    </row>
    <row r="3628" spans="1:6" x14ac:dyDescent="0.2">
      <c r="A3628" t="s">
        <v>3228</v>
      </c>
      <c r="B3628" s="1">
        <v>1269026</v>
      </c>
      <c r="C3628" s="1">
        <v>3841</v>
      </c>
      <c r="D3628" s="2">
        <v>42452</v>
      </c>
      <c r="E3628" s="1" t="s">
        <v>18</v>
      </c>
      <c r="F3628" t="str">
        <f>HYPERLINK("http://www.sec.gov/Archives/edgar/data/1269026/0001493152-16-008221-index.html")</f>
        <v>http://www.sec.gov/Archives/edgar/data/1269026/0001493152-16-008221-index.html</v>
      </c>
    </row>
    <row r="3629" spans="1:6" x14ac:dyDescent="0.2">
      <c r="A3629" t="s">
        <v>3229</v>
      </c>
      <c r="B3629" s="1">
        <v>1281895</v>
      </c>
      <c r="C3629" s="1">
        <v>2834</v>
      </c>
      <c r="D3629" s="2">
        <v>42452</v>
      </c>
      <c r="E3629" s="1" t="s">
        <v>18</v>
      </c>
      <c r="F3629" t="str">
        <f>HYPERLINK("http://www.sec.gov/Archives/edgar/data/1281895/0001193125-16-514228-index.html")</f>
        <v>http://www.sec.gov/Archives/edgar/data/1281895/0001193125-16-514228-index.html</v>
      </c>
    </row>
    <row r="3630" spans="1:6" x14ac:dyDescent="0.2">
      <c r="A3630" t="s">
        <v>3230</v>
      </c>
      <c r="B3630" s="1">
        <v>1297735</v>
      </c>
      <c r="C3630" s="1">
        <v>7011</v>
      </c>
      <c r="D3630" s="2">
        <v>42452</v>
      </c>
      <c r="E3630" s="1" t="s">
        <v>18</v>
      </c>
      <c r="F3630" t="str">
        <f>HYPERLINK("http://www.sec.gov/Archives/edgar/data/1297735/0001297735-16-000038-index.html")</f>
        <v>http://www.sec.gov/Archives/edgar/data/1297735/0001297735-16-000038-index.html</v>
      </c>
    </row>
    <row r="3631" spans="1:6" x14ac:dyDescent="0.2">
      <c r="A3631" t="s">
        <v>3231</v>
      </c>
      <c r="B3631" s="1">
        <v>1301712</v>
      </c>
      <c r="C3631" s="1">
        <v>5090</v>
      </c>
      <c r="D3631" s="2">
        <v>42452</v>
      </c>
      <c r="E3631" s="1" t="s">
        <v>18</v>
      </c>
      <c r="F3631" t="str">
        <f>HYPERLINK("http://www.sec.gov/Archives/edgar/data/1301712/0000721748-16-001070-index.html")</f>
        <v>http://www.sec.gov/Archives/edgar/data/1301712/0000721748-16-001070-index.html</v>
      </c>
    </row>
    <row r="3632" spans="1:6" x14ac:dyDescent="0.2">
      <c r="A3632" t="s">
        <v>3232</v>
      </c>
      <c r="B3632" s="1">
        <v>1307579</v>
      </c>
      <c r="C3632" s="1">
        <v>3590</v>
      </c>
      <c r="D3632" s="2">
        <v>42452</v>
      </c>
      <c r="E3632" s="1" t="s">
        <v>18</v>
      </c>
      <c r="F3632" t="str">
        <f>HYPERLINK("http://www.sec.gov/Archives/edgar/data/1307579/0001437749-16-028290-index.html")</f>
        <v>http://www.sec.gov/Archives/edgar/data/1307579/0001437749-16-028290-index.html</v>
      </c>
    </row>
    <row r="3633" spans="1:6" x14ac:dyDescent="0.2">
      <c r="A3633" t="s">
        <v>3233</v>
      </c>
      <c r="B3633" s="1">
        <v>1311673</v>
      </c>
      <c r="C3633" s="1">
        <v>6770</v>
      </c>
      <c r="D3633" s="2">
        <v>42452</v>
      </c>
      <c r="E3633" s="1" t="s">
        <v>18</v>
      </c>
      <c r="F3633" t="str">
        <f>HYPERLINK("http://www.sec.gov/Archives/edgar/data/1311673/0001206774-16-005071-index.html")</f>
        <v>http://www.sec.gov/Archives/edgar/data/1311673/0001206774-16-005071-index.html</v>
      </c>
    </row>
    <row r="3634" spans="1:6" x14ac:dyDescent="0.2">
      <c r="A3634" t="s">
        <v>3234</v>
      </c>
      <c r="B3634" s="1">
        <v>1345991</v>
      </c>
      <c r="C3634" s="1">
        <v>6221</v>
      </c>
      <c r="D3634" s="2">
        <v>42452</v>
      </c>
      <c r="E3634" s="1" t="s">
        <v>18</v>
      </c>
      <c r="F3634" t="str">
        <f>HYPERLINK("http://www.sec.gov/Archives/edgar/data/1345991/0001387131-16-004696-index.html")</f>
        <v>http://www.sec.gov/Archives/edgar/data/1345991/0001387131-16-004696-index.html</v>
      </c>
    </row>
    <row r="3635" spans="1:6" x14ac:dyDescent="0.2">
      <c r="A3635" t="s">
        <v>3235</v>
      </c>
      <c r="B3635" s="1">
        <v>1353487</v>
      </c>
      <c r="C3635" s="1">
        <v>3559</v>
      </c>
      <c r="D3635" s="2">
        <v>42452</v>
      </c>
      <c r="E3635" s="1" t="s">
        <v>18</v>
      </c>
      <c r="F3635" t="str">
        <f>HYPERLINK("http://www.sec.gov/Archives/edgar/data/1353487/0001144204-16-089714-index.html")</f>
        <v>http://www.sec.gov/Archives/edgar/data/1353487/0001144204-16-089714-index.html</v>
      </c>
    </row>
    <row r="3636" spans="1:6" x14ac:dyDescent="0.2">
      <c r="A3636" t="s">
        <v>3236</v>
      </c>
      <c r="B3636" s="1">
        <v>1358190</v>
      </c>
      <c r="C3636" s="1">
        <v>2670</v>
      </c>
      <c r="D3636" s="2">
        <v>42452</v>
      </c>
      <c r="E3636" s="1" t="s">
        <v>18</v>
      </c>
      <c r="F3636" t="str">
        <f>HYPERLINK("http://www.sec.gov/Archives/edgar/data/1358190/0001213900-16-011815-index.html")</f>
        <v>http://www.sec.gov/Archives/edgar/data/1358190/0001213900-16-011815-index.html</v>
      </c>
    </row>
    <row r="3637" spans="1:6" x14ac:dyDescent="0.2">
      <c r="A3637" t="s">
        <v>3237</v>
      </c>
      <c r="B3637" s="1">
        <v>1360214</v>
      </c>
      <c r="C3637" s="1">
        <v>2834</v>
      </c>
      <c r="D3637" s="2">
        <v>42452</v>
      </c>
      <c r="E3637" s="1" t="s">
        <v>18</v>
      </c>
      <c r="F3637" t="str">
        <f>HYPERLINK("http://www.sec.gov/Archives/edgar/data/1360214/0001493152-16-008212-index.html")</f>
        <v>http://www.sec.gov/Archives/edgar/data/1360214/0001493152-16-008212-index.html</v>
      </c>
    </row>
    <row r="3638" spans="1:6" x14ac:dyDescent="0.2">
      <c r="A3638" t="s">
        <v>3238</v>
      </c>
      <c r="B3638" s="1">
        <v>1361025</v>
      </c>
      <c r="C3638" s="1">
        <v>6324</v>
      </c>
      <c r="D3638" s="2">
        <v>42452</v>
      </c>
      <c r="E3638" s="1" t="s">
        <v>18</v>
      </c>
      <c r="F3638" t="str">
        <f>HYPERLINK("http://www.sec.gov/Archives/edgar/data/1361025/0001437749-16-028253-index.html")</f>
        <v>http://www.sec.gov/Archives/edgar/data/1361025/0001437749-16-028253-index.html</v>
      </c>
    </row>
    <row r="3639" spans="1:6" x14ac:dyDescent="0.2">
      <c r="A3639" t="s">
        <v>3239</v>
      </c>
      <c r="B3639" s="1">
        <v>1368514</v>
      </c>
      <c r="C3639" s="1">
        <v>2836</v>
      </c>
      <c r="D3639" s="2">
        <v>42452</v>
      </c>
      <c r="E3639" s="1" t="s">
        <v>18</v>
      </c>
      <c r="F3639" t="str">
        <f>HYPERLINK("http://www.sec.gov/Archives/edgar/data/1368514/0001193805-16-002889-index.html")</f>
        <v>http://www.sec.gov/Archives/edgar/data/1368514/0001193805-16-002889-index.html</v>
      </c>
    </row>
    <row r="3640" spans="1:6" x14ac:dyDescent="0.2">
      <c r="A3640" t="s">
        <v>3240</v>
      </c>
      <c r="B3640" s="1">
        <v>1407200</v>
      </c>
      <c r="C3640" s="1">
        <v>6189</v>
      </c>
      <c r="D3640" s="2">
        <v>42452</v>
      </c>
      <c r="E3640" s="1" t="s">
        <v>18</v>
      </c>
      <c r="F3640" t="str">
        <f>HYPERLINK("http://www.sec.gov/Archives/edgar/data/1407200/0001193125-16-514817-index.html")</f>
        <v>http://www.sec.gov/Archives/edgar/data/1407200/0001193125-16-514817-index.html</v>
      </c>
    </row>
    <row r="3641" spans="1:6" x14ac:dyDescent="0.2">
      <c r="A3641" t="s">
        <v>3241</v>
      </c>
      <c r="B3641" s="1">
        <v>1452857</v>
      </c>
      <c r="C3641" s="1">
        <v>3390</v>
      </c>
      <c r="D3641" s="2">
        <v>42452</v>
      </c>
      <c r="E3641" s="1" t="s">
        <v>42</v>
      </c>
      <c r="F3641" t="str">
        <f>HYPERLINK("http://www.sec.gov/Archives/edgar/data/1452857/0001452857-16-000037-index.html")</f>
        <v>http://www.sec.gov/Archives/edgar/data/1452857/0001452857-16-000037-index.html</v>
      </c>
    </row>
    <row r="3642" spans="1:6" x14ac:dyDescent="0.2">
      <c r="A3642" t="s">
        <v>3242</v>
      </c>
      <c r="B3642" s="1">
        <v>1466292</v>
      </c>
      <c r="C3642" s="1">
        <v>6022</v>
      </c>
      <c r="D3642" s="2">
        <v>42452</v>
      </c>
      <c r="E3642" s="1" t="s">
        <v>18</v>
      </c>
      <c r="F3642" t="str">
        <f>HYPERLINK("http://www.sec.gov/Archives/edgar/data/1466292/0001144204-16-089872-index.html")</f>
        <v>http://www.sec.gov/Archives/edgar/data/1466292/0001144204-16-089872-index.html</v>
      </c>
    </row>
    <row r="3643" spans="1:6" x14ac:dyDescent="0.2">
      <c r="A3643" t="s">
        <v>3243</v>
      </c>
      <c r="B3643" s="1">
        <v>1470205</v>
      </c>
      <c r="C3643" s="1">
        <v>6022</v>
      </c>
      <c r="D3643" s="2">
        <v>42452</v>
      </c>
      <c r="E3643" s="1" t="s">
        <v>18</v>
      </c>
      <c r="F3643" t="str">
        <f>HYPERLINK("http://www.sec.gov/Archives/edgar/data/1470205/0001564590-16-015188-index.html")</f>
        <v>http://www.sec.gov/Archives/edgar/data/1470205/0001564590-16-015188-index.html</v>
      </c>
    </row>
    <row r="3644" spans="1:6" x14ac:dyDescent="0.2">
      <c r="A3644" t="s">
        <v>3244</v>
      </c>
      <c r="B3644" s="1">
        <v>1474307</v>
      </c>
      <c r="C3644" s="1">
        <v>6221</v>
      </c>
      <c r="D3644" s="2">
        <v>42452</v>
      </c>
      <c r="E3644" s="1" t="s">
        <v>18</v>
      </c>
      <c r="F3644" t="str">
        <f>HYPERLINK("http://www.sec.gov/Archives/edgar/data/1474307/0001387131-16-004694-index.html")</f>
        <v>http://www.sec.gov/Archives/edgar/data/1474307/0001387131-16-004694-index.html</v>
      </c>
    </row>
    <row r="3645" spans="1:6" x14ac:dyDescent="0.2">
      <c r="A3645" t="s">
        <v>3245</v>
      </c>
      <c r="B3645" s="1">
        <v>1489979</v>
      </c>
      <c r="C3645" s="1">
        <v>5411</v>
      </c>
      <c r="D3645" s="2">
        <v>42452</v>
      </c>
      <c r="E3645" s="1" t="s">
        <v>18</v>
      </c>
      <c r="F3645" t="str">
        <f>HYPERLINK("http://www.sec.gov/Archives/edgar/data/1489979/0001489979-16-000058-index.html")</f>
        <v>http://www.sec.gov/Archives/edgar/data/1489979/0001489979-16-000058-index.html</v>
      </c>
    </row>
    <row r="3646" spans="1:6" x14ac:dyDescent="0.2">
      <c r="A3646" t="s">
        <v>3246</v>
      </c>
      <c r="B3646" s="1">
        <v>1499268</v>
      </c>
      <c r="C3646" s="1">
        <v>7011</v>
      </c>
      <c r="D3646" s="2">
        <v>42452</v>
      </c>
      <c r="E3646" s="1" t="s">
        <v>18</v>
      </c>
      <c r="F3646" t="str">
        <f>HYPERLINK("http://www.sec.gov/Archives/edgar/data/1499268/0001628280-16-012933-index.html")</f>
        <v>http://www.sec.gov/Archives/edgar/data/1499268/0001628280-16-012933-index.html</v>
      </c>
    </row>
    <row r="3647" spans="1:6" x14ac:dyDescent="0.2">
      <c r="A3647" t="s">
        <v>925</v>
      </c>
      <c r="B3647" s="1">
        <v>1512922</v>
      </c>
      <c r="C3647" s="1">
        <v>7372</v>
      </c>
      <c r="D3647" s="2">
        <v>42452</v>
      </c>
      <c r="E3647" s="1" t="s">
        <v>18</v>
      </c>
      <c r="F3647" t="str">
        <f>HYPERLINK("http://www.sec.gov/Archives/edgar/data/1512922/0001477932-16-009141-index.html")</f>
        <v>http://www.sec.gov/Archives/edgar/data/1512922/0001477932-16-009141-index.html</v>
      </c>
    </row>
    <row r="3648" spans="1:6" x14ac:dyDescent="0.2">
      <c r="A3648" t="s">
        <v>3247</v>
      </c>
      <c r="B3648" s="1">
        <v>1532288</v>
      </c>
      <c r="C3648" s="1">
        <v>1221</v>
      </c>
      <c r="D3648" s="2">
        <v>42452</v>
      </c>
      <c r="E3648" s="1" t="s">
        <v>18</v>
      </c>
      <c r="F3648" t="str">
        <f>HYPERLINK("http://www.sec.gov/Archives/edgar/data/1532288/0001532288-16-000013-index.html")</f>
        <v>http://www.sec.gov/Archives/edgar/data/1532288/0001532288-16-000013-index.html</v>
      </c>
    </row>
    <row r="3649" spans="1:6" x14ac:dyDescent="0.2">
      <c r="A3649" t="s">
        <v>3248</v>
      </c>
      <c r="B3649" s="1">
        <v>1532826</v>
      </c>
      <c r="C3649" s="1">
        <v>6189</v>
      </c>
      <c r="D3649" s="2">
        <v>42452</v>
      </c>
      <c r="E3649" s="1" t="s">
        <v>18</v>
      </c>
      <c r="F3649" t="str">
        <f>HYPERLINK("http://www.sec.gov/Archives/edgar/data/1532826/0001056404-16-003573-index.html")</f>
        <v>http://www.sec.gov/Archives/edgar/data/1532826/0001056404-16-003573-index.html</v>
      </c>
    </row>
    <row r="3650" spans="1:6" x14ac:dyDescent="0.2">
      <c r="A3650" t="s">
        <v>3249</v>
      </c>
      <c r="B3650" s="1">
        <v>1534120</v>
      </c>
      <c r="C3650" s="1">
        <v>2834</v>
      </c>
      <c r="D3650" s="2">
        <v>42452</v>
      </c>
      <c r="E3650" s="1" t="s">
        <v>18</v>
      </c>
      <c r="F3650" t="str">
        <f>HYPERLINK("http://www.sec.gov/Archives/edgar/data/1534120/0001558370-16-004299-index.html")</f>
        <v>http://www.sec.gov/Archives/edgar/data/1534120/0001558370-16-004299-index.html</v>
      </c>
    </row>
    <row r="3651" spans="1:6" x14ac:dyDescent="0.2">
      <c r="A3651" t="s">
        <v>3250</v>
      </c>
      <c r="B3651" s="1">
        <v>1537511</v>
      </c>
      <c r="C3651" s="1">
        <v>8742</v>
      </c>
      <c r="D3651" s="2">
        <v>42452</v>
      </c>
      <c r="E3651" s="1" t="s">
        <v>18</v>
      </c>
      <c r="F3651" t="str">
        <f>HYPERLINK("http://www.sec.gov/Archives/edgar/data/1537511/0001144204-16-089780-index.html")</f>
        <v>http://www.sec.gov/Archives/edgar/data/1537511/0001144204-16-089780-index.html</v>
      </c>
    </row>
    <row r="3652" spans="1:6" x14ac:dyDescent="0.2">
      <c r="A3652" t="s">
        <v>3251</v>
      </c>
      <c r="B3652" s="1">
        <v>1541157</v>
      </c>
      <c r="C3652" s="1">
        <v>2834</v>
      </c>
      <c r="D3652" s="2">
        <v>42452</v>
      </c>
      <c r="E3652" s="1" t="s">
        <v>18</v>
      </c>
      <c r="F3652" t="str">
        <f>HYPERLINK("http://www.sec.gov/Archives/edgar/data/1541157/0001144204-16-089697-index.html")</f>
        <v>http://www.sec.gov/Archives/edgar/data/1541157/0001144204-16-089697-index.html</v>
      </c>
    </row>
    <row r="3653" spans="1:6" x14ac:dyDescent="0.2">
      <c r="A3653" t="s">
        <v>3252</v>
      </c>
      <c r="B3653" s="1">
        <v>1542447</v>
      </c>
      <c r="C3653" s="1">
        <v>6798</v>
      </c>
      <c r="D3653" s="2">
        <v>42452</v>
      </c>
      <c r="E3653" s="1" t="s">
        <v>18</v>
      </c>
      <c r="F3653" t="str">
        <f>HYPERLINK("http://www.sec.gov/Archives/edgar/data/1542447/0001542447-16-000128-index.html")</f>
        <v>http://www.sec.gov/Archives/edgar/data/1542447/0001542447-16-000128-index.html</v>
      </c>
    </row>
    <row r="3654" spans="1:6" x14ac:dyDescent="0.2">
      <c r="A3654" t="s">
        <v>3253</v>
      </c>
      <c r="B3654" s="1">
        <v>1542830</v>
      </c>
      <c r="C3654" s="1">
        <v>6189</v>
      </c>
      <c r="D3654" s="2">
        <v>42452</v>
      </c>
      <c r="E3654" s="1" t="s">
        <v>18</v>
      </c>
      <c r="F3654" t="str">
        <f>HYPERLINK("http://www.sec.gov/Archives/edgar/data/1542830/0001056404-16-003528-index.html")</f>
        <v>http://www.sec.gov/Archives/edgar/data/1542830/0001056404-16-003528-index.html</v>
      </c>
    </row>
    <row r="3655" spans="1:6" x14ac:dyDescent="0.2">
      <c r="A3655" t="s">
        <v>3254</v>
      </c>
      <c r="B3655" s="1">
        <v>1542976</v>
      </c>
      <c r="C3655" s="1">
        <v>6189</v>
      </c>
      <c r="D3655" s="2">
        <v>42452</v>
      </c>
      <c r="E3655" s="1" t="s">
        <v>18</v>
      </c>
      <c r="F3655" t="str">
        <f>HYPERLINK("http://www.sec.gov/Archives/edgar/data/1542976/0001144204-16-089809-index.html")</f>
        <v>http://www.sec.gov/Archives/edgar/data/1542976/0001144204-16-089809-index.html</v>
      </c>
    </row>
    <row r="3656" spans="1:6" x14ac:dyDescent="0.2">
      <c r="A3656" t="s">
        <v>3255</v>
      </c>
      <c r="B3656" s="1">
        <v>1543042</v>
      </c>
      <c r="C3656" s="1">
        <v>6189</v>
      </c>
      <c r="D3656" s="2">
        <v>42452</v>
      </c>
      <c r="E3656" s="1" t="s">
        <v>18</v>
      </c>
      <c r="F3656" t="str">
        <f>HYPERLINK("http://www.sec.gov/Archives/edgar/data/1543042/0001020242-16-000311-index.html")</f>
        <v>http://www.sec.gov/Archives/edgar/data/1543042/0001020242-16-000311-index.html</v>
      </c>
    </row>
    <row r="3657" spans="1:6" x14ac:dyDescent="0.2">
      <c r="A3657" t="s">
        <v>3256</v>
      </c>
      <c r="B3657" s="1">
        <v>1545018</v>
      </c>
      <c r="C3657" s="1">
        <v>6189</v>
      </c>
      <c r="D3657" s="2">
        <v>42452</v>
      </c>
      <c r="E3657" s="1" t="s">
        <v>18</v>
      </c>
      <c r="F3657" t="str">
        <f>HYPERLINK("http://www.sec.gov/Archives/edgar/data/1545018/0001056404-16-003586-index.html")</f>
        <v>http://www.sec.gov/Archives/edgar/data/1545018/0001056404-16-003586-index.html</v>
      </c>
    </row>
    <row r="3658" spans="1:6" x14ac:dyDescent="0.2">
      <c r="A3658" t="s">
        <v>3257</v>
      </c>
      <c r="B3658" s="1">
        <v>1547546</v>
      </c>
      <c r="C3658" s="1">
        <v>6798</v>
      </c>
      <c r="D3658" s="2">
        <v>42452</v>
      </c>
      <c r="E3658" s="1" t="s">
        <v>18</v>
      </c>
      <c r="F3658" t="str">
        <f>HYPERLINK("http://www.sec.gov/Archives/edgar/data/1547546/0001144204-16-089867-index.html")</f>
        <v>http://www.sec.gov/Archives/edgar/data/1547546/0001144204-16-089867-index.html</v>
      </c>
    </row>
    <row r="3659" spans="1:6" x14ac:dyDescent="0.2">
      <c r="A3659" t="s">
        <v>3258</v>
      </c>
      <c r="B3659" s="1">
        <v>1548266</v>
      </c>
      <c r="C3659" s="1">
        <v>6189</v>
      </c>
      <c r="D3659" s="2">
        <v>42452</v>
      </c>
      <c r="E3659" s="1" t="s">
        <v>18</v>
      </c>
      <c r="F3659" t="str">
        <f>HYPERLINK("http://www.sec.gov/Archives/edgar/data/1548266/0001056404-16-003572-index.html")</f>
        <v>http://www.sec.gov/Archives/edgar/data/1548266/0001056404-16-003572-index.html</v>
      </c>
    </row>
    <row r="3660" spans="1:6" x14ac:dyDescent="0.2">
      <c r="A3660" t="s">
        <v>3259</v>
      </c>
      <c r="B3660" s="1">
        <v>1550120</v>
      </c>
      <c r="C3660" s="1">
        <v>6189</v>
      </c>
      <c r="D3660" s="2">
        <v>42452</v>
      </c>
      <c r="E3660" s="1" t="s">
        <v>18</v>
      </c>
      <c r="F3660" t="str">
        <f>HYPERLINK("http://www.sec.gov/Archives/edgar/data/1550120/0001056404-16-003579-index.html")</f>
        <v>http://www.sec.gov/Archives/edgar/data/1550120/0001056404-16-003579-index.html</v>
      </c>
    </row>
    <row r="3661" spans="1:6" x14ac:dyDescent="0.2">
      <c r="A3661" t="s">
        <v>3260</v>
      </c>
      <c r="B3661" s="1">
        <v>1553000</v>
      </c>
      <c r="C3661" s="1">
        <v>6189</v>
      </c>
      <c r="D3661" s="2">
        <v>42452</v>
      </c>
      <c r="E3661" s="1" t="s">
        <v>18</v>
      </c>
      <c r="F3661" t="str">
        <f>HYPERLINK("http://www.sec.gov/Archives/edgar/data/1553000/0001144204-16-089810-index.html")</f>
        <v>http://www.sec.gov/Archives/edgar/data/1553000/0001144204-16-089810-index.html</v>
      </c>
    </row>
    <row r="3662" spans="1:6" x14ac:dyDescent="0.2">
      <c r="A3662" t="s">
        <v>3261</v>
      </c>
      <c r="B3662" s="1">
        <v>1556063</v>
      </c>
      <c r="C3662" s="1">
        <v>6189</v>
      </c>
      <c r="D3662" s="2">
        <v>42452</v>
      </c>
      <c r="E3662" s="1" t="s">
        <v>18</v>
      </c>
      <c r="F3662" t="str">
        <f>HYPERLINK("http://www.sec.gov/Archives/edgar/data/1556063/0001144204-16-089811-index.html")</f>
        <v>http://www.sec.gov/Archives/edgar/data/1556063/0001144204-16-089811-index.html</v>
      </c>
    </row>
    <row r="3663" spans="1:6" x14ac:dyDescent="0.2">
      <c r="A3663" t="s">
        <v>3262</v>
      </c>
      <c r="B3663" s="1">
        <v>1556965</v>
      </c>
      <c r="C3663" s="1">
        <v>6189</v>
      </c>
      <c r="D3663" s="2">
        <v>42452</v>
      </c>
      <c r="E3663" s="1" t="s">
        <v>18</v>
      </c>
      <c r="F3663" t="str">
        <f>HYPERLINK("http://www.sec.gov/Archives/edgar/data/1556965/0001056404-16-003520-index.html")</f>
        <v>http://www.sec.gov/Archives/edgar/data/1556965/0001056404-16-003520-index.html</v>
      </c>
    </row>
    <row r="3664" spans="1:6" x14ac:dyDescent="0.2">
      <c r="A3664" t="s">
        <v>3263</v>
      </c>
      <c r="B3664" s="1">
        <v>1557746</v>
      </c>
      <c r="C3664" s="1">
        <v>2834</v>
      </c>
      <c r="D3664" s="2">
        <v>42452</v>
      </c>
      <c r="E3664" s="1" t="s">
        <v>18</v>
      </c>
      <c r="F3664" t="str">
        <f>HYPERLINK("http://www.sec.gov/Archives/edgar/data/1557746/0001558370-16-004311-index.html")</f>
        <v>http://www.sec.gov/Archives/edgar/data/1557746/0001558370-16-004311-index.html</v>
      </c>
    </row>
    <row r="3665" spans="1:6" x14ac:dyDescent="0.2">
      <c r="A3665" t="s">
        <v>3264</v>
      </c>
      <c r="B3665" s="1">
        <v>1561679</v>
      </c>
      <c r="C3665" s="1">
        <v>7359</v>
      </c>
      <c r="D3665" s="2">
        <v>42452</v>
      </c>
      <c r="E3665" s="1" t="s">
        <v>18</v>
      </c>
      <c r="F3665" t="str">
        <f>HYPERLINK("http://www.sec.gov/Archives/edgar/data/1561679/0001561679-16-000041-index.html")</f>
        <v>http://www.sec.gov/Archives/edgar/data/1561679/0001561679-16-000041-index.html</v>
      </c>
    </row>
    <row r="3666" spans="1:6" x14ac:dyDescent="0.2">
      <c r="A3666" t="s">
        <v>3265</v>
      </c>
      <c r="B3666" s="1">
        <v>1563166</v>
      </c>
      <c r="C3666" s="1">
        <v>6189</v>
      </c>
      <c r="D3666" s="2">
        <v>42452</v>
      </c>
      <c r="E3666" s="1" t="s">
        <v>18</v>
      </c>
      <c r="F3666" t="str">
        <f>HYPERLINK("http://www.sec.gov/Archives/edgar/data/1563166/0001056404-16-003530-index.html")</f>
        <v>http://www.sec.gov/Archives/edgar/data/1563166/0001056404-16-003530-index.html</v>
      </c>
    </row>
    <row r="3667" spans="1:6" x14ac:dyDescent="0.2">
      <c r="A3667" t="s">
        <v>3266</v>
      </c>
      <c r="B3667" s="1">
        <v>1566443</v>
      </c>
      <c r="C3667" s="1">
        <v>6189</v>
      </c>
      <c r="D3667" s="2">
        <v>42452</v>
      </c>
      <c r="E3667" s="1" t="s">
        <v>18</v>
      </c>
      <c r="F3667" t="str">
        <f>HYPERLINK("http://www.sec.gov/Archives/edgar/data/1566443/0001144204-16-089812-index.html")</f>
        <v>http://www.sec.gov/Archives/edgar/data/1566443/0001144204-16-089812-index.html</v>
      </c>
    </row>
    <row r="3668" spans="1:6" x14ac:dyDescent="0.2">
      <c r="A3668" t="s">
        <v>3267</v>
      </c>
      <c r="B3668" s="1">
        <v>1569414</v>
      </c>
      <c r="C3668" s="1">
        <v>6189</v>
      </c>
      <c r="D3668" s="2">
        <v>42452</v>
      </c>
      <c r="E3668" s="1" t="s">
        <v>18</v>
      </c>
      <c r="F3668" t="str">
        <f>HYPERLINK("http://www.sec.gov/Archives/edgar/data/1569414/0001056404-16-003569-index.html")</f>
        <v>http://www.sec.gov/Archives/edgar/data/1569414/0001056404-16-003569-index.html</v>
      </c>
    </row>
    <row r="3669" spans="1:6" x14ac:dyDescent="0.2">
      <c r="A3669" t="s">
        <v>3268</v>
      </c>
      <c r="B3669" s="1">
        <v>1571236</v>
      </c>
      <c r="C3669" s="1">
        <v>6189</v>
      </c>
      <c r="D3669" s="2">
        <v>42452</v>
      </c>
      <c r="E3669" s="1" t="s">
        <v>18</v>
      </c>
      <c r="F3669" t="str">
        <f>HYPERLINK("http://www.sec.gov/Archives/edgar/data/1571236/0001056404-16-003518-index.html")</f>
        <v>http://www.sec.gov/Archives/edgar/data/1571236/0001056404-16-003518-index.html</v>
      </c>
    </row>
    <row r="3670" spans="1:6" x14ac:dyDescent="0.2">
      <c r="A3670" t="s">
        <v>3269</v>
      </c>
      <c r="B3670" s="1">
        <v>1572493</v>
      </c>
      <c r="C3670" s="1">
        <v>6189</v>
      </c>
      <c r="D3670" s="2">
        <v>42452</v>
      </c>
      <c r="E3670" s="1" t="s">
        <v>18</v>
      </c>
      <c r="F3670" t="str">
        <f>HYPERLINK("http://www.sec.gov/Archives/edgar/data/1572493/0001056404-16-003577-index.html")</f>
        <v>http://www.sec.gov/Archives/edgar/data/1572493/0001056404-16-003577-index.html</v>
      </c>
    </row>
    <row r="3671" spans="1:6" x14ac:dyDescent="0.2">
      <c r="A3671" t="s">
        <v>3270</v>
      </c>
      <c r="B3671" s="1">
        <v>1575190</v>
      </c>
      <c r="C3671" s="1">
        <v>6189</v>
      </c>
      <c r="D3671" s="2">
        <v>42452</v>
      </c>
      <c r="E3671" s="1" t="s">
        <v>18</v>
      </c>
      <c r="F3671" t="str">
        <f>HYPERLINK("http://www.sec.gov/Archives/edgar/data/1575190/0001056404-16-003565-index.html")</f>
        <v>http://www.sec.gov/Archives/edgar/data/1575190/0001056404-16-003565-index.html</v>
      </c>
    </row>
    <row r="3672" spans="1:6" x14ac:dyDescent="0.2">
      <c r="A3672" t="s">
        <v>3271</v>
      </c>
      <c r="B3672" s="1">
        <v>1576336</v>
      </c>
      <c r="C3672" s="1">
        <v>6021</v>
      </c>
      <c r="D3672" s="2">
        <v>42452</v>
      </c>
      <c r="E3672" s="1" t="s">
        <v>18</v>
      </c>
      <c r="F3672" t="str">
        <f>HYPERLINK("http://www.sec.gov/Archives/edgar/data/1576336/0001104659-16-107146-index.html")</f>
        <v>http://www.sec.gov/Archives/edgar/data/1576336/0001104659-16-107146-index.html</v>
      </c>
    </row>
    <row r="3673" spans="1:6" x14ac:dyDescent="0.2">
      <c r="A3673" t="s">
        <v>3272</v>
      </c>
      <c r="B3673" s="1">
        <v>1578131</v>
      </c>
      <c r="C3673" s="1">
        <v>6189</v>
      </c>
      <c r="D3673" s="2">
        <v>42452</v>
      </c>
      <c r="E3673" s="1" t="s">
        <v>18</v>
      </c>
      <c r="F3673" t="str">
        <f>HYPERLINK("http://www.sec.gov/Archives/edgar/data/1578131/0001144204-16-089813-index.html")</f>
        <v>http://www.sec.gov/Archives/edgar/data/1578131/0001144204-16-089813-index.html</v>
      </c>
    </row>
    <row r="3674" spans="1:6" x14ac:dyDescent="0.2">
      <c r="A3674" t="s">
        <v>3273</v>
      </c>
      <c r="B3674" s="1">
        <v>1578533</v>
      </c>
      <c r="C3674" s="1">
        <v>6189</v>
      </c>
      <c r="D3674" s="2">
        <v>42452</v>
      </c>
      <c r="E3674" s="1" t="s">
        <v>18</v>
      </c>
      <c r="F3674" t="str">
        <f>HYPERLINK("http://www.sec.gov/Archives/edgar/data/1578533/0001020242-16-000302-index.html")</f>
        <v>http://www.sec.gov/Archives/edgar/data/1578533/0001020242-16-000302-index.html</v>
      </c>
    </row>
    <row r="3675" spans="1:6" x14ac:dyDescent="0.2">
      <c r="A3675" t="s">
        <v>3274</v>
      </c>
      <c r="B3675" s="1">
        <v>1582037</v>
      </c>
      <c r="C3675" s="1">
        <v>6189</v>
      </c>
      <c r="D3675" s="2">
        <v>42452</v>
      </c>
      <c r="E3675" s="1" t="s">
        <v>18</v>
      </c>
      <c r="F3675" t="str">
        <f>HYPERLINK("http://www.sec.gov/Archives/edgar/data/1582037/0001056404-16-003575-index.html")</f>
        <v>http://www.sec.gov/Archives/edgar/data/1582037/0001056404-16-003575-index.html</v>
      </c>
    </row>
    <row r="3676" spans="1:6" x14ac:dyDescent="0.2">
      <c r="A3676" t="s">
        <v>1049</v>
      </c>
      <c r="B3676" s="1">
        <v>1583648</v>
      </c>
      <c r="C3676" s="1">
        <v>8731</v>
      </c>
      <c r="D3676" s="2">
        <v>42452</v>
      </c>
      <c r="E3676" s="1" t="s">
        <v>18</v>
      </c>
      <c r="F3676" t="str">
        <f>HYPERLINK("http://www.sec.gov/Archives/edgar/data/1583648/0001193125-16-514870-index.html")</f>
        <v>http://www.sec.gov/Archives/edgar/data/1583648/0001193125-16-514870-index.html</v>
      </c>
    </row>
    <row r="3677" spans="1:6" x14ac:dyDescent="0.2">
      <c r="A3677" t="s">
        <v>3275</v>
      </c>
      <c r="B3677" s="1">
        <v>1584701</v>
      </c>
      <c r="C3677" s="1">
        <v>5411</v>
      </c>
      <c r="D3677" s="2">
        <v>42452</v>
      </c>
      <c r="E3677" s="1" t="s">
        <v>18</v>
      </c>
      <c r="F3677" t="str">
        <f>HYPERLINK("http://www.sec.gov/Archives/edgar/data/1584701/0001564590-16-015178-index.html")</f>
        <v>http://www.sec.gov/Archives/edgar/data/1584701/0001564590-16-015178-index.html</v>
      </c>
    </row>
    <row r="3678" spans="1:6" x14ac:dyDescent="0.2">
      <c r="A3678" t="s">
        <v>3276</v>
      </c>
      <c r="B3678" s="1">
        <v>1585492</v>
      </c>
      <c r="C3678" s="1">
        <v>6189</v>
      </c>
      <c r="D3678" s="2">
        <v>42452</v>
      </c>
      <c r="E3678" s="1" t="s">
        <v>18</v>
      </c>
      <c r="F3678" t="str">
        <f>HYPERLINK("http://www.sec.gov/Archives/edgar/data/1585492/0001144204-16-089814-index.html")</f>
        <v>http://www.sec.gov/Archives/edgar/data/1585492/0001144204-16-089814-index.html</v>
      </c>
    </row>
    <row r="3679" spans="1:6" x14ac:dyDescent="0.2">
      <c r="A3679" t="s">
        <v>3277</v>
      </c>
      <c r="B3679" s="1">
        <v>1586883</v>
      </c>
      <c r="C3679" s="1">
        <v>6189</v>
      </c>
      <c r="D3679" s="2">
        <v>42452</v>
      </c>
      <c r="E3679" s="1" t="s">
        <v>18</v>
      </c>
      <c r="F3679" t="str">
        <f>HYPERLINK("http://www.sec.gov/Archives/edgar/data/1586883/0001020242-16-000310-index.html")</f>
        <v>http://www.sec.gov/Archives/edgar/data/1586883/0001020242-16-000310-index.html</v>
      </c>
    </row>
    <row r="3680" spans="1:6" x14ac:dyDescent="0.2">
      <c r="A3680" t="s">
        <v>3278</v>
      </c>
      <c r="B3680" s="1">
        <v>1587246</v>
      </c>
      <c r="C3680" s="1">
        <v>1389</v>
      </c>
      <c r="D3680" s="2">
        <v>42452</v>
      </c>
      <c r="E3680" s="1" t="s">
        <v>18</v>
      </c>
      <c r="F3680" t="str">
        <f>HYPERLINK("http://www.sec.gov/Archives/edgar/data/1587246/0001437749-16-028292-index.html")</f>
        <v>http://www.sec.gov/Archives/edgar/data/1587246/0001437749-16-028292-index.html</v>
      </c>
    </row>
    <row r="3681" spans="1:6" x14ac:dyDescent="0.2">
      <c r="A3681" t="s">
        <v>3279</v>
      </c>
      <c r="B3681" s="1">
        <v>1594100</v>
      </c>
      <c r="C3681" s="1">
        <v>6189</v>
      </c>
      <c r="D3681" s="2">
        <v>42452</v>
      </c>
      <c r="E3681" s="1" t="s">
        <v>18</v>
      </c>
      <c r="F3681" t="str">
        <f>HYPERLINK("http://www.sec.gov/Archives/edgar/data/1594100/0001020242-16-000305-index.html")</f>
        <v>http://www.sec.gov/Archives/edgar/data/1594100/0001020242-16-000305-index.html</v>
      </c>
    </row>
    <row r="3682" spans="1:6" x14ac:dyDescent="0.2">
      <c r="A3682" t="s">
        <v>2042</v>
      </c>
      <c r="B3682" s="1">
        <v>1595726</v>
      </c>
      <c r="C3682" s="1">
        <v>6189</v>
      </c>
      <c r="D3682" s="2">
        <v>42452</v>
      </c>
      <c r="E3682" s="1" t="s">
        <v>18</v>
      </c>
      <c r="F3682" t="str">
        <f>HYPERLINK("http://www.sec.gov/Archives/edgar/data/1595726/0001056404-16-003526-index.html")</f>
        <v>http://www.sec.gov/Archives/edgar/data/1595726/0001056404-16-003526-index.html</v>
      </c>
    </row>
    <row r="3683" spans="1:6" x14ac:dyDescent="0.2">
      <c r="A3683" t="s">
        <v>3280</v>
      </c>
      <c r="B3683" s="1">
        <v>1597131</v>
      </c>
      <c r="C3683" s="1">
        <v>1311</v>
      </c>
      <c r="D3683" s="2">
        <v>42452</v>
      </c>
      <c r="E3683" s="1" t="s">
        <v>18</v>
      </c>
      <c r="F3683" t="str">
        <f>HYPERLINK("http://www.sec.gov/Archives/edgar/data/1597131/0001628280-16-012916-index.html")</f>
        <v>http://www.sec.gov/Archives/edgar/data/1597131/0001628280-16-012916-index.html</v>
      </c>
    </row>
    <row r="3684" spans="1:6" x14ac:dyDescent="0.2">
      <c r="A3684" t="s">
        <v>3281</v>
      </c>
      <c r="B3684" s="1">
        <v>1597811</v>
      </c>
      <c r="C3684" s="1">
        <v>6189</v>
      </c>
      <c r="D3684" s="2">
        <v>42452</v>
      </c>
      <c r="E3684" s="1" t="s">
        <v>18</v>
      </c>
      <c r="F3684" t="str">
        <f>HYPERLINK("http://www.sec.gov/Archives/edgar/data/1597811/0001144204-16-089815-index.html")</f>
        <v>http://www.sec.gov/Archives/edgar/data/1597811/0001144204-16-089815-index.html</v>
      </c>
    </row>
    <row r="3685" spans="1:6" x14ac:dyDescent="0.2">
      <c r="A3685" t="s">
        <v>3282</v>
      </c>
      <c r="B3685" s="1">
        <v>1600831</v>
      </c>
      <c r="C3685" s="1">
        <v>6189</v>
      </c>
      <c r="D3685" s="2">
        <v>42452</v>
      </c>
      <c r="E3685" s="1" t="s">
        <v>18</v>
      </c>
      <c r="F3685" t="str">
        <f>HYPERLINK("http://www.sec.gov/Archives/edgar/data/1600831/0001056404-16-003557-index.html")</f>
        <v>http://www.sec.gov/Archives/edgar/data/1600831/0001056404-16-003557-index.html</v>
      </c>
    </row>
    <row r="3686" spans="1:6" x14ac:dyDescent="0.2">
      <c r="A3686" t="s">
        <v>3283</v>
      </c>
      <c r="B3686" s="1">
        <v>1601705</v>
      </c>
      <c r="C3686" s="1">
        <v>6189</v>
      </c>
      <c r="D3686" s="2">
        <v>42452</v>
      </c>
      <c r="E3686" s="1" t="s">
        <v>18</v>
      </c>
      <c r="F3686" t="str">
        <f>HYPERLINK("http://www.sec.gov/Archives/edgar/data/1601705/0001056404-16-003527-index.html")</f>
        <v>http://www.sec.gov/Archives/edgar/data/1601705/0001056404-16-003527-index.html</v>
      </c>
    </row>
    <row r="3687" spans="1:6" x14ac:dyDescent="0.2">
      <c r="A3687" t="s">
        <v>3284</v>
      </c>
      <c r="B3687" s="1">
        <v>1604083</v>
      </c>
      <c r="C3687" s="1">
        <v>6189</v>
      </c>
      <c r="D3687" s="2">
        <v>42452</v>
      </c>
      <c r="E3687" s="1" t="s">
        <v>18</v>
      </c>
      <c r="F3687" t="str">
        <f>HYPERLINK("http://www.sec.gov/Archives/edgar/data/1604083/0001056404-16-003563-index.html")</f>
        <v>http://www.sec.gov/Archives/edgar/data/1604083/0001056404-16-003563-index.html</v>
      </c>
    </row>
    <row r="3688" spans="1:6" x14ac:dyDescent="0.2">
      <c r="A3688" t="s">
        <v>3285</v>
      </c>
      <c r="B3688" s="1">
        <v>1604862</v>
      </c>
      <c r="C3688" s="1">
        <v>6189</v>
      </c>
      <c r="D3688" s="2">
        <v>42452</v>
      </c>
      <c r="E3688" s="1" t="s">
        <v>18</v>
      </c>
      <c r="F3688" t="str">
        <f>HYPERLINK("http://www.sec.gov/Archives/edgar/data/1604862/0001144204-16-089816-index.html")</f>
        <v>http://www.sec.gov/Archives/edgar/data/1604862/0001144204-16-089816-index.html</v>
      </c>
    </row>
    <row r="3689" spans="1:6" x14ac:dyDescent="0.2">
      <c r="A3689" t="s">
        <v>3286</v>
      </c>
      <c r="B3689" s="1">
        <v>1606909</v>
      </c>
      <c r="C3689" s="1">
        <v>4412</v>
      </c>
      <c r="D3689" s="2">
        <v>42452</v>
      </c>
      <c r="E3689" s="1" t="s">
        <v>18</v>
      </c>
      <c r="F3689" t="str">
        <f>HYPERLINK("http://www.sec.gov/Archives/edgar/data/1606909/0001606909-16-000185-index.html")</f>
        <v>http://www.sec.gov/Archives/edgar/data/1606909/0001606909-16-000185-index.html</v>
      </c>
    </row>
    <row r="3690" spans="1:6" x14ac:dyDescent="0.2">
      <c r="A3690" t="s">
        <v>3287</v>
      </c>
      <c r="B3690" s="1">
        <v>1607450</v>
      </c>
      <c r="C3690" s="1">
        <v>8742</v>
      </c>
      <c r="D3690" s="2">
        <v>42452</v>
      </c>
      <c r="E3690" s="1" t="s">
        <v>18</v>
      </c>
      <c r="F3690" t="str">
        <f>HYPERLINK("http://www.sec.gov/Archives/edgar/data/1607450/0001213900-16-011813-index.html")</f>
        <v>http://www.sec.gov/Archives/edgar/data/1607450/0001213900-16-011813-index.html</v>
      </c>
    </row>
    <row r="3691" spans="1:6" x14ac:dyDescent="0.2">
      <c r="A3691" t="s">
        <v>3288</v>
      </c>
      <c r="B3691" s="1">
        <v>1610486</v>
      </c>
      <c r="C3691" s="1">
        <v>6189</v>
      </c>
      <c r="D3691" s="2">
        <v>42452</v>
      </c>
      <c r="E3691" s="1" t="s">
        <v>18</v>
      </c>
      <c r="F3691" t="str">
        <f>HYPERLINK("http://www.sec.gov/Archives/edgar/data/1610486/0001056404-16-003534-index.html")</f>
        <v>http://www.sec.gov/Archives/edgar/data/1610486/0001056404-16-003534-index.html</v>
      </c>
    </row>
    <row r="3692" spans="1:6" x14ac:dyDescent="0.2">
      <c r="A3692" t="s">
        <v>3289</v>
      </c>
      <c r="B3692" s="1">
        <v>1617959</v>
      </c>
      <c r="C3692" s="1">
        <v>6189</v>
      </c>
      <c r="D3692" s="2">
        <v>42452</v>
      </c>
      <c r="E3692" s="1" t="s">
        <v>18</v>
      </c>
      <c r="F3692" t="str">
        <f>HYPERLINK("http://www.sec.gov/Archives/edgar/data/1617959/0001056404-16-003582-index.html")</f>
        <v>http://www.sec.gov/Archives/edgar/data/1617959/0001056404-16-003582-index.html</v>
      </c>
    </row>
    <row r="3693" spans="1:6" x14ac:dyDescent="0.2">
      <c r="A3693" t="s">
        <v>3290</v>
      </c>
      <c r="B3693" s="1">
        <v>1619511</v>
      </c>
      <c r="C3693" s="1">
        <v>6189</v>
      </c>
      <c r="D3693" s="2">
        <v>42452</v>
      </c>
      <c r="E3693" s="1" t="s">
        <v>18</v>
      </c>
      <c r="F3693" t="str">
        <f>HYPERLINK("http://www.sec.gov/Archives/edgar/data/1619511/0001056404-16-003561-index.html")</f>
        <v>http://www.sec.gov/Archives/edgar/data/1619511/0001056404-16-003561-index.html</v>
      </c>
    </row>
    <row r="3694" spans="1:6" x14ac:dyDescent="0.2">
      <c r="A3694" t="s">
        <v>3291</v>
      </c>
      <c r="B3694" s="1">
        <v>1620305</v>
      </c>
      <c r="C3694" s="1">
        <v>6189</v>
      </c>
      <c r="D3694" s="2">
        <v>42452</v>
      </c>
      <c r="E3694" s="1" t="s">
        <v>18</v>
      </c>
      <c r="F3694" t="str">
        <f>HYPERLINK("http://www.sec.gov/Archives/edgar/data/1620305/0001056404-16-003556-index.html")</f>
        <v>http://www.sec.gov/Archives/edgar/data/1620305/0001056404-16-003556-index.html</v>
      </c>
    </row>
    <row r="3695" spans="1:6" x14ac:dyDescent="0.2">
      <c r="A3695" t="s">
        <v>3292</v>
      </c>
      <c r="B3695" s="1">
        <v>1625426</v>
      </c>
      <c r="C3695" s="1">
        <v>6189</v>
      </c>
      <c r="D3695" s="2">
        <v>42452</v>
      </c>
      <c r="E3695" s="1" t="s">
        <v>18</v>
      </c>
      <c r="F3695" t="str">
        <f>HYPERLINK("http://www.sec.gov/Archives/edgar/data/1625426/0001056404-16-003568-index.html")</f>
        <v>http://www.sec.gov/Archives/edgar/data/1625426/0001056404-16-003568-index.html</v>
      </c>
    </row>
    <row r="3696" spans="1:6" x14ac:dyDescent="0.2">
      <c r="A3696" t="s">
        <v>3293</v>
      </c>
      <c r="B3696" s="1">
        <v>1629978</v>
      </c>
      <c r="C3696" s="1">
        <v>6189</v>
      </c>
      <c r="D3696" s="2">
        <v>42452</v>
      </c>
      <c r="E3696" s="1" t="s">
        <v>18</v>
      </c>
      <c r="F3696" t="str">
        <f>HYPERLINK("http://www.sec.gov/Archives/edgar/data/1629978/0001144204-16-089817-index.html")</f>
        <v>http://www.sec.gov/Archives/edgar/data/1629978/0001144204-16-089817-index.html</v>
      </c>
    </row>
    <row r="3697" spans="1:6" x14ac:dyDescent="0.2">
      <c r="A3697" t="s">
        <v>3294</v>
      </c>
      <c r="B3697" s="1">
        <v>1630690</v>
      </c>
      <c r="C3697" s="1">
        <v>6189</v>
      </c>
      <c r="D3697" s="2">
        <v>42452</v>
      </c>
      <c r="E3697" s="1" t="s">
        <v>18</v>
      </c>
      <c r="F3697" t="str">
        <f>HYPERLINK("http://www.sec.gov/Archives/edgar/data/1630690/0001056404-16-003537-index.html")</f>
        <v>http://www.sec.gov/Archives/edgar/data/1630690/0001056404-16-003537-index.html</v>
      </c>
    </row>
    <row r="3698" spans="1:6" x14ac:dyDescent="0.2">
      <c r="A3698" t="s">
        <v>3295</v>
      </c>
      <c r="B3698" s="1">
        <v>1630940</v>
      </c>
      <c r="C3698" s="1">
        <v>6770</v>
      </c>
      <c r="D3698" s="2">
        <v>42452</v>
      </c>
      <c r="E3698" s="1" t="s">
        <v>18</v>
      </c>
      <c r="F3698" t="str">
        <f>HYPERLINK("http://www.sec.gov/Archives/edgar/data/1630940/0001213900-16-011819-index.html")</f>
        <v>http://www.sec.gov/Archives/edgar/data/1630940/0001213900-16-011819-index.html</v>
      </c>
    </row>
    <row r="3699" spans="1:6" x14ac:dyDescent="0.2">
      <c r="A3699" t="s">
        <v>3296</v>
      </c>
      <c r="B3699" s="1">
        <v>1632312</v>
      </c>
      <c r="C3699" s="1">
        <v>6770</v>
      </c>
      <c r="D3699" s="2">
        <v>42452</v>
      </c>
      <c r="E3699" s="1" t="s">
        <v>18</v>
      </c>
      <c r="F3699" t="str">
        <f>HYPERLINK("http://www.sec.gov/Archives/edgar/data/1632312/0001262463-16-000888-index.html")</f>
        <v>http://www.sec.gov/Archives/edgar/data/1632312/0001262463-16-000888-index.html</v>
      </c>
    </row>
    <row r="3700" spans="1:6" x14ac:dyDescent="0.2">
      <c r="A3700" t="s">
        <v>3297</v>
      </c>
      <c r="B3700" s="1">
        <v>1633858</v>
      </c>
      <c r="C3700" s="1">
        <v>4922</v>
      </c>
      <c r="D3700" s="2">
        <v>42452</v>
      </c>
      <c r="E3700" s="1" t="s">
        <v>18</v>
      </c>
      <c r="F3700" t="str">
        <f>HYPERLINK("http://www.sec.gov/Archives/edgar/data/1633858/0001144204-16-089642-index.html")</f>
        <v>http://www.sec.gov/Archives/edgar/data/1633858/0001144204-16-089642-index.html</v>
      </c>
    </row>
    <row r="3701" spans="1:6" x14ac:dyDescent="0.2">
      <c r="A3701" t="s">
        <v>3298</v>
      </c>
      <c r="B3701" s="1">
        <v>1634172</v>
      </c>
      <c r="C3701" s="1">
        <v>6189</v>
      </c>
      <c r="D3701" s="2">
        <v>42452</v>
      </c>
      <c r="E3701" s="1" t="s">
        <v>18</v>
      </c>
      <c r="F3701" t="str">
        <f>HYPERLINK("http://www.sec.gov/Archives/edgar/data/1634172/0001056404-16-003532-index.html")</f>
        <v>http://www.sec.gov/Archives/edgar/data/1634172/0001056404-16-003532-index.html</v>
      </c>
    </row>
    <row r="3702" spans="1:6" x14ac:dyDescent="0.2">
      <c r="A3702" t="s">
        <v>3299</v>
      </c>
      <c r="B3702" s="1">
        <v>1634976</v>
      </c>
      <c r="C3702" s="1">
        <v>6189</v>
      </c>
      <c r="D3702" s="2">
        <v>42452</v>
      </c>
      <c r="E3702" s="1" t="s">
        <v>18</v>
      </c>
      <c r="F3702" t="str">
        <f>HYPERLINK("http://www.sec.gov/Archives/edgar/data/1634976/0001020242-16-000303-index.html")</f>
        <v>http://www.sec.gov/Archives/edgar/data/1634976/0001020242-16-000303-index.html</v>
      </c>
    </row>
    <row r="3703" spans="1:6" x14ac:dyDescent="0.2">
      <c r="A3703" t="s">
        <v>3300</v>
      </c>
      <c r="B3703" s="1">
        <v>1636286</v>
      </c>
      <c r="C3703" s="1">
        <v>6022</v>
      </c>
      <c r="D3703" s="2">
        <v>42452</v>
      </c>
      <c r="E3703" s="1" t="s">
        <v>18</v>
      </c>
      <c r="F3703" t="str">
        <f>HYPERLINK("http://www.sec.gov/Archives/edgar/data/1636286/0001564590-16-015183-index.html")</f>
        <v>http://www.sec.gov/Archives/edgar/data/1636286/0001564590-16-015183-index.html</v>
      </c>
    </row>
    <row r="3704" spans="1:6" x14ac:dyDescent="0.2">
      <c r="A3704" t="s">
        <v>3301</v>
      </c>
      <c r="B3704" s="1">
        <v>1637008</v>
      </c>
      <c r="C3704" s="1">
        <v>6189</v>
      </c>
      <c r="D3704" s="2">
        <v>42452</v>
      </c>
      <c r="E3704" s="1" t="s">
        <v>18</v>
      </c>
      <c r="F3704" t="str">
        <f>HYPERLINK("http://www.sec.gov/Archives/edgar/data/1637008/0001056404-16-003551-index.html")</f>
        <v>http://www.sec.gov/Archives/edgar/data/1637008/0001056404-16-003551-index.html</v>
      </c>
    </row>
    <row r="3705" spans="1:6" x14ac:dyDescent="0.2">
      <c r="A3705" t="s">
        <v>3302</v>
      </c>
      <c r="B3705" s="1">
        <v>1638449</v>
      </c>
      <c r="C3705" s="1">
        <v>6189</v>
      </c>
      <c r="D3705" s="2">
        <v>42452</v>
      </c>
      <c r="E3705" s="1" t="s">
        <v>18</v>
      </c>
      <c r="F3705" t="str">
        <f>HYPERLINK("http://www.sec.gov/Archives/edgar/data/1638449/0001144204-16-089818-index.html")</f>
        <v>http://www.sec.gov/Archives/edgar/data/1638449/0001144204-16-089818-index.html</v>
      </c>
    </row>
    <row r="3706" spans="1:6" x14ac:dyDescent="0.2">
      <c r="A3706" t="s">
        <v>3303</v>
      </c>
      <c r="B3706" s="1">
        <v>1639353</v>
      </c>
      <c r="C3706" s="1">
        <v>6189</v>
      </c>
      <c r="D3706" s="2">
        <v>42452</v>
      </c>
      <c r="E3706" s="1" t="s">
        <v>18</v>
      </c>
      <c r="F3706" t="str">
        <f>HYPERLINK("http://www.sec.gov/Archives/edgar/data/1639353/0001056404-16-003538-index.html")</f>
        <v>http://www.sec.gov/Archives/edgar/data/1639353/0001056404-16-003538-index.html</v>
      </c>
    </row>
    <row r="3707" spans="1:6" x14ac:dyDescent="0.2">
      <c r="A3707" t="s">
        <v>3304</v>
      </c>
      <c r="B3707" s="1">
        <v>1640584</v>
      </c>
      <c r="C3707" s="1">
        <v>6189</v>
      </c>
      <c r="D3707" s="2">
        <v>42452</v>
      </c>
      <c r="E3707" s="1" t="s">
        <v>18</v>
      </c>
      <c r="F3707" t="str">
        <f>HYPERLINK("http://www.sec.gov/Archives/edgar/data/1640584/0001056404-16-003546-index.html")</f>
        <v>http://www.sec.gov/Archives/edgar/data/1640584/0001056404-16-003546-index.html</v>
      </c>
    </row>
    <row r="3708" spans="1:6" x14ac:dyDescent="0.2">
      <c r="A3708" t="s">
        <v>3305</v>
      </c>
      <c r="B3708" s="1">
        <v>1644943</v>
      </c>
      <c r="C3708" s="1">
        <v>6189</v>
      </c>
      <c r="D3708" s="2">
        <v>42452</v>
      </c>
      <c r="E3708" s="1" t="s">
        <v>18</v>
      </c>
      <c r="F3708" t="str">
        <f>HYPERLINK("http://www.sec.gov/Archives/edgar/data/1644943/0001056404-16-003550-index.html")</f>
        <v>http://www.sec.gov/Archives/edgar/data/1644943/0001056404-16-003550-index.html</v>
      </c>
    </row>
    <row r="3709" spans="1:6" x14ac:dyDescent="0.2">
      <c r="A3709" t="s">
        <v>3306</v>
      </c>
      <c r="B3709" s="1">
        <v>1645731</v>
      </c>
      <c r="C3709" s="1">
        <v>6189</v>
      </c>
      <c r="D3709" s="2">
        <v>42452</v>
      </c>
      <c r="E3709" s="1" t="s">
        <v>18</v>
      </c>
      <c r="F3709" t="str">
        <f>HYPERLINK("http://www.sec.gov/Archives/edgar/data/1645731/0001193125-16-514817-index.html")</f>
        <v>http://www.sec.gov/Archives/edgar/data/1645731/0001193125-16-514817-index.html</v>
      </c>
    </row>
    <row r="3710" spans="1:6" x14ac:dyDescent="0.2">
      <c r="A3710" t="s">
        <v>3307</v>
      </c>
      <c r="B3710" s="1">
        <v>1647980</v>
      </c>
      <c r="C3710" s="1">
        <v>6189</v>
      </c>
      <c r="D3710" s="2">
        <v>42452</v>
      </c>
      <c r="E3710" s="1" t="s">
        <v>18</v>
      </c>
      <c r="F3710" t="str">
        <f>HYPERLINK("http://www.sec.gov/Archives/edgar/data/1647980/0001056404-16-003560-index.html")</f>
        <v>http://www.sec.gov/Archives/edgar/data/1647980/0001056404-16-003560-index.html</v>
      </c>
    </row>
    <row r="3711" spans="1:6" x14ac:dyDescent="0.2">
      <c r="A3711" t="s">
        <v>3308</v>
      </c>
      <c r="B3711" s="1">
        <v>1648195</v>
      </c>
      <c r="C3711" s="1">
        <v>6189</v>
      </c>
      <c r="D3711" s="2">
        <v>42452</v>
      </c>
      <c r="E3711" s="1" t="s">
        <v>18</v>
      </c>
      <c r="F3711" t="str">
        <f>HYPERLINK("http://www.sec.gov/Archives/edgar/data/1648195/0001020242-16-000307-index.html")</f>
        <v>http://www.sec.gov/Archives/edgar/data/1648195/0001020242-16-000307-index.html</v>
      </c>
    </row>
    <row r="3712" spans="1:6" x14ac:dyDescent="0.2">
      <c r="A3712" t="s">
        <v>3309</v>
      </c>
      <c r="B3712" s="1">
        <v>1649184</v>
      </c>
      <c r="C3712" s="1">
        <v>6189</v>
      </c>
      <c r="D3712" s="2">
        <v>42452</v>
      </c>
      <c r="E3712" s="1" t="s">
        <v>18</v>
      </c>
      <c r="F3712" t="str">
        <f>HYPERLINK("http://www.sec.gov/Archives/edgar/data/1649184/0001056404-16-003552-index.html")</f>
        <v>http://www.sec.gov/Archives/edgar/data/1649184/0001056404-16-003552-index.html</v>
      </c>
    </row>
    <row r="3713" spans="1:6" x14ac:dyDescent="0.2">
      <c r="A3713" t="s">
        <v>3310</v>
      </c>
      <c r="B3713" s="1">
        <v>1651898</v>
      </c>
      <c r="C3713" s="1">
        <v>6189</v>
      </c>
      <c r="D3713" s="2">
        <v>42452</v>
      </c>
      <c r="E3713" s="1" t="s">
        <v>18</v>
      </c>
      <c r="F3713" t="str">
        <f>HYPERLINK("http://www.sec.gov/Archives/edgar/data/1651898/0001144204-16-089819-index.html")</f>
        <v>http://www.sec.gov/Archives/edgar/data/1651898/0001144204-16-089819-index.html</v>
      </c>
    </row>
    <row r="3714" spans="1:6" x14ac:dyDescent="0.2">
      <c r="A3714" t="s">
        <v>3311</v>
      </c>
      <c r="B3714" s="1">
        <v>1651958</v>
      </c>
      <c r="C3714" s="1">
        <v>2844</v>
      </c>
      <c r="D3714" s="2">
        <v>42452</v>
      </c>
      <c r="E3714" s="1" t="s">
        <v>18</v>
      </c>
      <c r="F3714" t="str">
        <f>HYPERLINK("http://www.sec.gov/Archives/edgar/data/1651958/0001640334-16-000857-index.html")</f>
        <v>http://www.sec.gov/Archives/edgar/data/1651958/0001640334-16-000857-index.html</v>
      </c>
    </row>
    <row r="3715" spans="1:6" x14ac:dyDescent="0.2">
      <c r="A3715" t="s">
        <v>3312</v>
      </c>
      <c r="B3715" s="1">
        <v>1652982</v>
      </c>
      <c r="C3715" s="1">
        <v>6189</v>
      </c>
      <c r="D3715" s="2">
        <v>42452</v>
      </c>
      <c r="E3715" s="1" t="s">
        <v>18</v>
      </c>
      <c r="F3715" t="str">
        <f>HYPERLINK("http://www.sec.gov/Archives/edgar/data/1652982/0001056404-16-003545-index.html")</f>
        <v>http://www.sec.gov/Archives/edgar/data/1652982/0001056404-16-003545-index.html</v>
      </c>
    </row>
    <row r="3716" spans="1:6" x14ac:dyDescent="0.2">
      <c r="A3716" t="s">
        <v>3313</v>
      </c>
      <c r="B3716" s="1">
        <v>1655153</v>
      </c>
      <c r="C3716" s="1">
        <v>6189</v>
      </c>
      <c r="D3716" s="2">
        <v>42452</v>
      </c>
      <c r="E3716" s="1" t="s">
        <v>18</v>
      </c>
      <c r="F3716" t="str">
        <f>HYPERLINK("http://www.sec.gov/Archives/edgar/data/1655153/0001056404-16-003523-index.html")</f>
        <v>http://www.sec.gov/Archives/edgar/data/1655153/0001056404-16-003523-index.html</v>
      </c>
    </row>
    <row r="3717" spans="1:6" x14ac:dyDescent="0.2">
      <c r="A3717" t="s">
        <v>3314</v>
      </c>
      <c r="B3717" s="1">
        <v>1656088</v>
      </c>
      <c r="C3717" s="1">
        <v>6189</v>
      </c>
      <c r="D3717" s="2">
        <v>42452</v>
      </c>
      <c r="E3717" s="1" t="s">
        <v>18</v>
      </c>
      <c r="F3717" t="str">
        <f>HYPERLINK("http://www.sec.gov/Archives/edgar/data/1656088/0001056404-16-003542-index.html")</f>
        <v>http://www.sec.gov/Archives/edgar/data/1656088/0001056404-16-003542-index.html</v>
      </c>
    </row>
    <row r="3718" spans="1:6" x14ac:dyDescent="0.2">
      <c r="A3718" t="s">
        <v>3315</v>
      </c>
      <c r="B3718" s="1">
        <v>1659981</v>
      </c>
      <c r="C3718" s="1">
        <v>6189</v>
      </c>
      <c r="D3718" s="2">
        <v>42452</v>
      </c>
      <c r="E3718" s="1" t="s">
        <v>18</v>
      </c>
      <c r="F3718" t="str">
        <f>HYPERLINK("http://www.sec.gov/Archives/edgar/data/1659981/0001056404-16-003541-index.html")</f>
        <v>http://www.sec.gov/Archives/edgar/data/1659981/0001056404-16-003541-index.html</v>
      </c>
    </row>
    <row r="3719" spans="1:6" x14ac:dyDescent="0.2">
      <c r="A3719" t="s">
        <v>3316</v>
      </c>
      <c r="B3719" s="1">
        <v>28917</v>
      </c>
      <c r="C3719" s="1">
        <v>5311</v>
      </c>
      <c r="D3719" s="2">
        <v>42452</v>
      </c>
      <c r="E3719" s="1" t="s">
        <v>18</v>
      </c>
      <c r="F3719" t="str">
        <f>HYPERLINK("http://www.sec.gov/Archives/edgar/data/28917/0000028917-16-000262-index.html")</f>
        <v>http://www.sec.gov/Archives/edgar/data/28917/0000028917-16-000262-index.html</v>
      </c>
    </row>
    <row r="3720" spans="1:6" x14ac:dyDescent="0.2">
      <c r="A3720" t="s">
        <v>3317</v>
      </c>
      <c r="B3720" s="1">
        <v>311817</v>
      </c>
      <c r="C3720" s="1">
        <v>6798</v>
      </c>
      <c r="D3720" s="2">
        <v>42452</v>
      </c>
      <c r="E3720" s="1" t="s">
        <v>18</v>
      </c>
      <c r="F3720" t="str">
        <f>HYPERLINK("http://www.sec.gov/Archives/edgar/data/311817/0001575872-16-000301-index.html")</f>
        <v>http://www.sec.gov/Archives/edgar/data/311817/0001575872-16-000301-index.html</v>
      </c>
    </row>
    <row r="3721" spans="1:6" x14ac:dyDescent="0.2">
      <c r="A3721" t="s">
        <v>3318</v>
      </c>
      <c r="B3721" s="1">
        <v>3197</v>
      </c>
      <c r="C3721" s="1">
        <v>3564</v>
      </c>
      <c r="D3721" s="2">
        <v>42452</v>
      </c>
      <c r="E3721" s="1" t="s">
        <v>18</v>
      </c>
      <c r="F3721" t="str">
        <f>HYPERLINK("http://www.sec.gov/Archives/edgar/data/3197/0001564590-16-015157-index.html")</f>
        <v>http://www.sec.gov/Archives/edgar/data/3197/0001564590-16-015157-index.html</v>
      </c>
    </row>
    <row r="3722" spans="1:6" x14ac:dyDescent="0.2">
      <c r="A3722" t="s">
        <v>3319</v>
      </c>
      <c r="B3722" s="1">
        <v>55362</v>
      </c>
      <c r="C3722" s="1">
        <v>6311</v>
      </c>
      <c r="D3722" s="2">
        <v>42452</v>
      </c>
      <c r="E3722" s="1" t="s">
        <v>18</v>
      </c>
      <c r="F3722" t="str">
        <f>HYPERLINK("http://www.sec.gov/Archives/edgar/data/55362/0001437749-16-028246-index.html")</f>
        <v>http://www.sec.gov/Archives/edgar/data/55362/0001437749-16-028246-index.html</v>
      </c>
    </row>
    <row r="3723" spans="1:6" x14ac:dyDescent="0.2">
      <c r="A3723" t="s">
        <v>3320</v>
      </c>
      <c r="B3723" s="1">
        <v>713671</v>
      </c>
      <c r="C3723" s="1">
        <v>6021</v>
      </c>
      <c r="D3723" s="2">
        <v>42452</v>
      </c>
      <c r="E3723" s="1" t="s">
        <v>18</v>
      </c>
      <c r="F3723" t="str">
        <f>HYPERLINK("http://www.sec.gov/Archives/edgar/data/713671/0000713671-16-000097-index.html")</f>
        <v>http://www.sec.gov/Archives/edgar/data/713671/0000713671-16-000097-index.html</v>
      </c>
    </row>
    <row r="3724" spans="1:6" x14ac:dyDescent="0.2">
      <c r="A3724" t="s">
        <v>3321</v>
      </c>
      <c r="B3724" s="1">
        <v>764478</v>
      </c>
      <c r="C3724" s="1">
        <v>5731</v>
      </c>
      <c r="D3724" s="2">
        <v>42452</v>
      </c>
      <c r="E3724" s="1" t="s">
        <v>18</v>
      </c>
      <c r="F3724" t="str">
        <f>HYPERLINK("http://www.sec.gov/Archives/edgar/data/764478/0000764478-16-000064-index.html")</f>
        <v>http://www.sec.gov/Archives/edgar/data/764478/0000764478-16-000064-index.html</v>
      </c>
    </row>
    <row r="3725" spans="1:6" x14ac:dyDescent="0.2">
      <c r="A3725" t="s">
        <v>3322</v>
      </c>
      <c r="B3725" s="1">
        <v>769397</v>
      </c>
      <c r="C3725" s="1">
        <v>7372</v>
      </c>
      <c r="D3725" s="2">
        <v>42452</v>
      </c>
      <c r="E3725" s="1" t="s">
        <v>18</v>
      </c>
      <c r="F3725" t="str">
        <f>HYPERLINK("http://www.sec.gov/Archives/edgar/data/769397/0000769397-16-000067-index.html")</f>
        <v>http://www.sec.gov/Archives/edgar/data/769397/0000769397-16-000067-index.html</v>
      </c>
    </row>
    <row r="3726" spans="1:6" x14ac:dyDescent="0.2">
      <c r="A3726" t="s">
        <v>3323</v>
      </c>
      <c r="B3726" s="1">
        <v>810509</v>
      </c>
      <c r="C3726" s="1">
        <v>2835</v>
      </c>
      <c r="D3726" s="2">
        <v>42452</v>
      </c>
      <c r="E3726" s="1" t="s">
        <v>18</v>
      </c>
      <c r="F3726" t="str">
        <f>HYPERLINK("http://www.sec.gov/Archives/edgar/data/810509/0001564590-16-015173-index.html")</f>
        <v>http://www.sec.gov/Archives/edgar/data/810509/0001564590-16-015173-index.html</v>
      </c>
    </row>
    <row r="3727" spans="1:6" x14ac:dyDescent="0.2">
      <c r="A3727" t="s">
        <v>3324</v>
      </c>
      <c r="B3727" s="1">
        <v>814046</v>
      </c>
      <c r="C3727" s="1">
        <v>1531</v>
      </c>
      <c r="D3727" s="2">
        <v>42452</v>
      </c>
      <c r="E3727" s="1" t="s">
        <v>18</v>
      </c>
      <c r="F3727" t="str">
        <f>HYPERLINK("http://www.sec.gov/Archives/edgar/data/814046/0000892626-16-000411-index.html")</f>
        <v>http://www.sec.gov/Archives/edgar/data/814046/0000892626-16-000411-index.html</v>
      </c>
    </row>
    <row r="3728" spans="1:6" x14ac:dyDescent="0.2">
      <c r="A3728" t="s">
        <v>3325</v>
      </c>
      <c r="B3728" s="1">
        <v>814926</v>
      </c>
      <c r="C3728" s="1">
        <v>3640</v>
      </c>
      <c r="D3728" s="2">
        <v>42452</v>
      </c>
      <c r="E3728" s="1" t="s">
        <v>18</v>
      </c>
      <c r="F3728" t="str">
        <f>HYPERLINK("http://www.sec.gov/Archives/edgar/data/814926/0000939802-16-000098-index.html")</f>
        <v>http://www.sec.gov/Archives/edgar/data/814926/0000939802-16-000098-index.html</v>
      </c>
    </row>
    <row r="3729" spans="1:6" x14ac:dyDescent="0.2">
      <c r="A3729" t="s">
        <v>3326</v>
      </c>
      <c r="B3729" s="1">
        <v>861441</v>
      </c>
      <c r="C3729" s="1">
        <v>6221</v>
      </c>
      <c r="D3729" s="2">
        <v>42452</v>
      </c>
      <c r="E3729" s="1" t="s">
        <v>18</v>
      </c>
      <c r="F3729" t="str">
        <f>HYPERLINK("http://www.sec.gov/Archives/edgar/data/861441/0001387131-16-004684-index.html")</f>
        <v>http://www.sec.gov/Archives/edgar/data/861441/0001387131-16-004684-index.html</v>
      </c>
    </row>
    <row r="3730" spans="1:6" x14ac:dyDescent="0.2">
      <c r="A3730" t="s">
        <v>3327</v>
      </c>
      <c r="B3730" s="1">
        <v>887247</v>
      </c>
      <c r="C3730" s="1">
        <v>2834</v>
      </c>
      <c r="D3730" s="2">
        <v>42452</v>
      </c>
      <c r="E3730" s="1" t="s">
        <v>18</v>
      </c>
      <c r="F3730" t="str">
        <f>HYPERLINK("http://www.sec.gov/Archives/edgar/data/887247/0001387131-16-004688-index.html")</f>
        <v>http://www.sec.gov/Archives/edgar/data/887247/0001387131-16-004688-index.html</v>
      </c>
    </row>
    <row r="3731" spans="1:6" x14ac:dyDescent="0.2">
      <c r="A3731" t="s">
        <v>3328</v>
      </c>
      <c r="B3731" s="1">
        <v>894329</v>
      </c>
      <c r="C3731" s="1">
        <v>6189</v>
      </c>
      <c r="D3731" s="2">
        <v>42452</v>
      </c>
      <c r="E3731" s="1" t="s">
        <v>18</v>
      </c>
      <c r="F3731" t="str">
        <f>HYPERLINK("http://www.sec.gov/Archives/edgar/data/894329/0001193125-16-514817-index.html")</f>
        <v>http://www.sec.gov/Archives/edgar/data/894329/0001193125-16-514817-index.html</v>
      </c>
    </row>
    <row r="3732" spans="1:6" x14ac:dyDescent="0.2">
      <c r="A3732" t="s">
        <v>3329</v>
      </c>
      <c r="B3732" s="1">
        <v>914748</v>
      </c>
      <c r="C3732" s="1">
        <v>6331</v>
      </c>
      <c r="D3732" s="2">
        <v>42452</v>
      </c>
      <c r="E3732" s="1" t="s">
        <v>18</v>
      </c>
      <c r="F3732" t="str">
        <f>HYPERLINK("http://www.sec.gov/Archives/edgar/data/914748/0000914748-16-000032-index.html")</f>
        <v>http://www.sec.gov/Archives/edgar/data/914748/0000914748-16-000032-index.html</v>
      </c>
    </row>
    <row r="3733" spans="1:6" x14ac:dyDescent="0.2">
      <c r="A3733" t="s">
        <v>3330</v>
      </c>
      <c r="B3733" s="1">
        <v>918964</v>
      </c>
      <c r="C3733" s="1">
        <v>2200</v>
      </c>
      <c r="D3733" s="2">
        <v>42452</v>
      </c>
      <c r="E3733" s="1" t="s">
        <v>18</v>
      </c>
      <c r="F3733" t="str">
        <f>HYPERLINK("http://www.sec.gov/Archives/edgar/data/918964/0001437749-16-028285-index.html")</f>
        <v>http://www.sec.gov/Archives/edgar/data/918964/0001437749-16-028285-index.html</v>
      </c>
    </row>
    <row r="3734" spans="1:6" x14ac:dyDescent="0.2">
      <c r="A3734" t="s">
        <v>3331</v>
      </c>
      <c r="B3734" s="1">
        <v>927761</v>
      </c>
      <c r="C3734" s="1">
        <v>2836</v>
      </c>
      <c r="D3734" s="2">
        <v>42452</v>
      </c>
      <c r="E3734" s="1" t="s">
        <v>18</v>
      </c>
      <c r="F3734" t="str">
        <f>HYPERLINK("http://www.sec.gov/Archives/edgar/data/927761/0001354488-16-006652-index.html")</f>
        <v>http://www.sec.gov/Archives/edgar/data/927761/0001354488-16-006652-index.html</v>
      </c>
    </row>
    <row r="3735" spans="1:6" x14ac:dyDescent="0.2">
      <c r="A3735" t="s">
        <v>3332</v>
      </c>
      <c r="B3735" s="1">
        <v>930810</v>
      </c>
      <c r="C3735" s="1">
        <v>6798</v>
      </c>
      <c r="D3735" s="2">
        <v>42452</v>
      </c>
      <c r="E3735" s="1" t="s">
        <v>18</v>
      </c>
      <c r="F3735" t="str">
        <f>HYPERLINK("http://www.sec.gov/Archives/edgar/data/930810/0000930810-16-000013-index.html")</f>
        <v>http://www.sec.gov/Archives/edgar/data/930810/0000930810-16-000013-index.html</v>
      </c>
    </row>
    <row r="3736" spans="1:6" x14ac:dyDescent="0.2">
      <c r="A3736" t="s">
        <v>3333</v>
      </c>
      <c r="B3736" s="1">
        <v>1095277</v>
      </c>
      <c r="C3736" s="1">
        <v>7374</v>
      </c>
      <c r="D3736" s="2">
        <v>42451</v>
      </c>
      <c r="E3736" s="1" t="s">
        <v>18</v>
      </c>
      <c r="F3736" t="str">
        <f>HYPERLINK("http://www.sec.gov/Archives/edgar/data/1095277/0001564590-16-015141-index.html")</f>
        <v>http://www.sec.gov/Archives/edgar/data/1095277/0001564590-16-015141-index.html</v>
      </c>
    </row>
    <row r="3737" spans="1:6" x14ac:dyDescent="0.2">
      <c r="A3737" t="s">
        <v>3334</v>
      </c>
      <c r="B3737" s="1">
        <v>1098996</v>
      </c>
      <c r="C3737" s="1">
        <v>9995</v>
      </c>
      <c r="D3737" s="2">
        <v>42451</v>
      </c>
      <c r="E3737" s="1" t="s">
        <v>18</v>
      </c>
      <c r="F3737" t="str">
        <f>HYPERLINK("http://www.sec.gov/Archives/edgar/data/1098996/0001096906-16-001470-index.html")</f>
        <v>http://www.sec.gov/Archives/edgar/data/1098996/0001096906-16-001470-index.html</v>
      </c>
    </row>
    <row r="3738" spans="1:6" x14ac:dyDescent="0.2">
      <c r="A3738" t="s">
        <v>3335</v>
      </c>
      <c r="B3738" s="1">
        <v>1141807</v>
      </c>
      <c r="C3738" s="1">
        <v>6035</v>
      </c>
      <c r="D3738" s="2">
        <v>42451</v>
      </c>
      <c r="E3738" s="1" t="s">
        <v>18</v>
      </c>
      <c r="F3738" t="str">
        <f>HYPERLINK("http://www.sec.gov/Archives/edgar/data/1141807/0001141807-16-000010-index.html")</f>
        <v>http://www.sec.gov/Archives/edgar/data/1141807/0001141807-16-000010-index.html</v>
      </c>
    </row>
    <row r="3739" spans="1:6" x14ac:dyDescent="0.2">
      <c r="A3739" t="s">
        <v>3336</v>
      </c>
      <c r="B3739" s="1">
        <v>1251769</v>
      </c>
      <c r="C3739" s="1">
        <v>2836</v>
      </c>
      <c r="D3739" s="2">
        <v>42451</v>
      </c>
      <c r="E3739" s="1" t="s">
        <v>18</v>
      </c>
      <c r="F3739" t="str">
        <f>HYPERLINK("http://www.sec.gov/Archives/edgar/data/1251769/0001558370-16-004287-index.html")</f>
        <v>http://www.sec.gov/Archives/edgar/data/1251769/0001558370-16-004287-index.html</v>
      </c>
    </row>
    <row r="3740" spans="1:6" x14ac:dyDescent="0.2">
      <c r="A3740" t="s">
        <v>3337</v>
      </c>
      <c r="B3740" s="1">
        <v>1275477</v>
      </c>
      <c r="C3740" s="1">
        <v>6798</v>
      </c>
      <c r="D3740" s="2">
        <v>42451</v>
      </c>
      <c r="E3740" s="1" t="s">
        <v>18</v>
      </c>
      <c r="F3740" t="str">
        <f>HYPERLINK("http://www.sec.gov/Archives/edgar/data/1275477/0001275477-16-000121-index.html")</f>
        <v>http://www.sec.gov/Archives/edgar/data/1275477/0001275477-16-000121-index.html</v>
      </c>
    </row>
    <row r="3741" spans="1:6" x14ac:dyDescent="0.2">
      <c r="A3741" t="s">
        <v>3338</v>
      </c>
      <c r="B3741" s="1">
        <v>1327811</v>
      </c>
      <c r="C3741" s="1">
        <v>7374</v>
      </c>
      <c r="D3741" s="2">
        <v>42451</v>
      </c>
      <c r="E3741" s="1" t="s">
        <v>18</v>
      </c>
      <c r="F3741" t="str">
        <f>HYPERLINK("http://www.sec.gov/Archives/edgar/data/1327811/0001327811-16-000032-index.html")</f>
        <v>http://www.sec.gov/Archives/edgar/data/1327811/0001327811-16-000032-index.html</v>
      </c>
    </row>
    <row r="3742" spans="1:6" x14ac:dyDescent="0.2">
      <c r="A3742" t="s">
        <v>3339</v>
      </c>
      <c r="B3742" s="1">
        <v>1331757</v>
      </c>
      <c r="C3742" s="1">
        <v>6111</v>
      </c>
      <c r="D3742" s="2">
        <v>42451</v>
      </c>
      <c r="E3742" s="1" t="s">
        <v>18</v>
      </c>
      <c r="F3742" t="str">
        <f>HYPERLINK("http://www.sec.gov/Archives/edgar/data/1331757/0001331757-16-000040-index.html")</f>
        <v>http://www.sec.gov/Archives/edgar/data/1331757/0001331757-16-000040-index.html</v>
      </c>
    </row>
    <row r="3743" spans="1:6" x14ac:dyDescent="0.2">
      <c r="A3743" t="s">
        <v>3340</v>
      </c>
      <c r="B3743" s="1">
        <v>1381447</v>
      </c>
      <c r="C3743" s="1">
        <v>1000</v>
      </c>
      <c r="D3743" s="2">
        <v>42451</v>
      </c>
      <c r="E3743" s="1" t="s">
        <v>18</v>
      </c>
      <c r="F3743" t="str">
        <f>HYPERLINK("http://www.sec.gov/Archives/edgar/data/1381447/0001078782-16-002451-index.html")</f>
        <v>http://www.sec.gov/Archives/edgar/data/1381447/0001078782-16-002451-index.html</v>
      </c>
    </row>
    <row r="3744" spans="1:6" x14ac:dyDescent="0.2">
      <c r="A3744" t="s">
        <v>832</v>
      </c>
      <c r="B3744" s="1">
        <v>1387467</v>
      </c>
      <c r="C3744" s="1">
        <v>3674</v>
      </c>
      <c r="D3744" s="2">
        <v>42451</v>
      </c>
      <c r="E3744" s="1" t="s">
        <v>42</v>
      </c>
      <c r="F3744" t="str">
        <f>HYPERLINK("http://www.sec.gov/Archives/edgar/data/1387467/0001387467-16-000158-index.html")</f>
        <v>http://www.sec.gov/Archives/edgar/data/1387467/0001387467-16-000158-index.html</v>
      </c>
    </row>
    <row r="3745" spans="1:6" x14ac:dyDescent="0.2">
      <c r="A3745" t="s">
        <v>3341</v>
      </c>
      <c r="B3745" s="1">
        <v>1399587</v>
      </c>
      <c r="C3745" s="1">
        <v>8200</v>
      </c>
      <c r="D3745" s="2">
        <v>42451</v>
      </c>
      <c r="E3745" s="1" t="s">
        <v>18</v>
      </c>
      <c r="F3745" t="str">
        <f>HYPERLINK("http://www.sec.gov/Archives/edgar/data/1399587/0001185185-16-003967-index.html")</f>
        <v>http://www.sec.gov/Archives/edgar/data/1399587/0001185185-16-003967-index.html</v>
      </c>
    </row>
    <row r="3746" spans="1:6" x14ac:dyDescent="0.2">
      <c r="A3746" t="s">
        <v>3342</v>
      </c>
      <c r="B3746" s="1">
        <v>1408278</v>
      </c>
      <c r="C3746" s="1">
        <v>7370</v>
      </c>
      <c r="D3746" s="2">
        <v>42451</v>
      </c>
      <c r="E3746" s="1" t="s">
        <v>18</v>
      </c>
      <c r="F3746" t="str">
        <f>HYPERLINK("http://www.sec.gov/Archives/edgar/data/1408278/0001193125-16-513635-index.html")</f>
        <v>http://www.sec.gov/Archives/edgar/data/1408278/0001193125-16-513635-index.html</v>
      </c>
    </row>
    <row r="3747" spans="1:6" x14ac:dyDescent="0.2">
      <c r="A3747" t="s">
        <v>3343</v>
      </c>
      <c r="B3747" s="1">
        <v>1432196</v>
      </c>
      <c r="C3747" s="1">
        <v>1040</v>
      </c>
      <c r="D3747" s="2">
        <v>42451</v>
      </c>
      <c r="E3747" s="1" t="s">
        <v>18</v>
      </c>
      <c r="F3747" t="str">
        <f>HYPERLINK("http://www.sec.gov/Archives/edgar/data/1432196/0001144204-16-089470-index.html")</f>
        <v>http://www.sec.gov/Archives/edgar/data/1432196/0001144204-16-089470-index.html</v>
      </c>
    </row>
    <row r="3748" spans="1:6" x14ac:dyDescent="0.2">
      <c r="A3748" t="s">
        <v>3344</v>
      </c>
      <c r="B3748" s="1">
        <v>1473597</v>
      </c>
      <c r="C3748" s="1">
        <v>3081</v>
      </c>
      <c r="D3748" s="2">
        <v>42451</v>
      </c>
      <c r="E3748" s="1" t="s">
        <v>18</v>
      </c>
      <c r="F3748" t="str">
        <f>HYPERLINK("http://www.sec.gov/Archives/edgar/data/1473597/0001047469-16-011435-index.html")</f>
        <v>http://www.sec.gov/Archives/edgar/data/1473597/0001047469-16-011435-index.html</v>
      </c>
    </row>
    <row r="3749" spans="1:6" x14ac:dyDescent="0.2">
      <c r="A3749" t="s">
        <v>3345</v>
      </c>
      <c r="B3749" s="1">
        <v>1493137</v>
      </c>
      <c r="C3749" s="1">
        <v>3826</v>
      </c>
      <c r="D3749" s="2">
        <v>42451</v>
      </c>
      <c r="E3749" s="1" t="s">
        <v>18</v>
      </c>
      <c r="F3749" t="str">
        <f>HYPERLINK("http://www.sec.gov/Archives/edgar/data/1493137/0001079973-16-000865-index.html")</f>
        <v>http://www.sec.gov/Archives/edgar/data/1493137/0001079973-16-000865-index.html</v>
      </c>
    </row>
    <row r="3750" spans="1:6" x14ac:dyDescent="0.2">
      <c r="A3750" t="s">
        <v>3346</v>
      </c>
      <c r="B3750" s="1">
        <v>1497504</v>
      </c>
      <c r="C3750" s="1">
        <v>2834</v>
      </c>
      <c r="D3750" s="2">
        <v>42451</v>
      </c>
      <c r="E3750" s="1" t="s">
        <v>18</v>
      </c>
      <c r="F3750" t="str">
        <f>HYPERLINK("http://www.sec.gov/Archives/edgar/data/1497504/0001047469-16-011428-index.html")</f>
        <v>http://www.sec.gov/Archives/edgar/data/1497504/0001047469-16-011428-index.html</v>
      </c>
    </row>
    <row r="3751" spans="1:6" x14ac:dyDescent="0.2">
      <c r="A3751" t="s">
        <v>3347</v>
      </c>
      <c r="B3751" s="1">
        <v>1498291</v>
      </c>
      <c r="C3751" s="1">
        <v>8742</v>
      </c>
      <c r="D3751" s="2">
        <v>42451</v>
      </c>
      <c r="E3751" s="1" t="s">
        <v>42</v>
      </c>
      <c r="F3751" t="str">
        <f>HYPERLINK("http://www.sec.gov/Archives/edgar/data/1498291/0001493152-16-008184-index.html")</f>
        <v>http://www.sec.gov/Archives/edgar/data/1498291/0001493152-16-008184-index.html</v>
      </c>
    </row>
    <row r="3752" spans="1:6" x14ac:dyDescent="0.2">
      <c r="A3752" t="s">
        <v>3348</v>
      </c>
      <c r="B3752" s="1">
        <v>1499684</v>
      </c>
      <c r="C3752" s="1">
        <v>6770</v>
      </c>
      <c r="D3752" s="2">
        <v>42451</v>
      </c>
      <c r="E3752" s="1" t="s">
        <v>18</v>
      </c>
      <c r="F3752" t="str">
        <f>HYPERLINK("http://www.sec.gov/Archives/edgar/data/1499684/0001640334-16-000855-index.html")</f>
        <v>http://www.sec.gov/Archives/edgar/data/1499684/0001640334-16-000855-index.html</v>
      </c>
    </row>
    <row r="3753" spans="1:6" x14ac:dyDescent="0.2">
      <c r="A3753" t="s">
        <v>3349</v>
      </c>
      <c r="B3753" s="1">
        <v>1522690</v>
      </c>
      <c r="C3753" s="1">
        <v>6311</v>
      </c>
      <c r="D3753" s="2">
        <v>42451</v>
      </c>
      <c r="E3753" s="1" t="s">
        <v>18</v>
      </c>
      <c r="F3753" t="str">
        <f>HYPERLINK("http://www.sec.gov/Archives/edgar/data/1522690/0001213900-16-011794-index.html")</f>
        <v>http://www.sec.gov/Archives/edgar/data/1522690/0001213900-16-011794-index.html</v>
      </c>
    </row>
    <row r="3754" spans="1:6" x14ac:dyDescent="0.2">
      <c r="A3754" t="s">
        <v>2716</v>
      </c>
      <c r="B3754" s="1">
        <v>1554776</v>
      </c>
      <c r="C3754" s="1">
        <v>6189</v>
      </c>
      <c r="D3754" s="2">
        <v>42451</v>
      </c>
      <c r="E3754" s="1" t="s">
        <v>18</v>
      </c>
      <c r="F3754" t="str">
        <f>HYPERLINK("http://www.sec.gov/Archives/edgar/data/1554776/0001056404-16-003508-index.html")</f>
        <v>http://www.sec.gov/Archives/edgar/data/1554776/0001056404-16-003508-index.html</v>
      </c>
    </row>
    <row r="3755" spans="1:6" x14ac:dyDescent="0.2">
      <c r="A3755" t="s">
        <v>2719</v>
      </c>
      <c r="B3755" s="1">
        <v>1558546</v>
      </c>
      <c r="C3755" s="1">
        <v>6189</v>
      </c>
      <c r="D3755" s="2">
        <v>42451</v>
      </c>
      <c r="E3755" s="1" t="s">
        <v>18</v>
      </c>
      <c r="F3755" t="str">
        <f>HYPERLINK("http://www.sec.gov/Archives/edgar/data/1558546/0001056404-16-003514-index.html")</f>
        <v>http://www.sec.gov/Archives/edgar/data/1558546/0001056404-16-003514-index.html</v>
      </c>
    </row>
    <row r="3756" spans="1:6" x14ac:dyDescent="0.2">
      <c r="A3756" t="s">
        <v>3350</v>
      </c>
      <c r="B3756" s="1">
        <v>1561627</v>
      </c>
      <c r="C3756" s="1">
        <v>3555</v>
      </c>
      <c r="D3756" s="2">
        <v>42451</v>
      </c>
      <c r="E3756" s="1" t="s">
        <v>18</v>
      </c>
      <c r="F3756" t="str">
        <f>HYPERLINK("http://www.sec.gov/Archives/edgar/data/1561627/0001564590-16-015146-index.html")</f>
        <v>http://www.sec.gov/Archives/edgar/data/1561627/0001564590-16-015146-index.html</v>
      </c>
    </row>
    <row r="3757" spans="1:6" x14ac:dyDescent="0.2">
      <c r="A3757" t="s">
        <v>2722</v>
      </c>
      <c r="B3757" s="1">
        <v>1561727</v>
      </c>
      <c r="C3757" s="1">
        <v>6189</v>
      </c>
      <c r="D3757" s="2">
        <v>42451</v>
      </c>
      <c r="E3757" s="1" t="s">
        <v>18</v>
      </c>
      <c r="F3757" t="str">
        <f>HYPERLINK("http://www.sec.gov/Archives/edgar/data/1561727/0001056404-16-003516-index.html")</f>
        <v>http://www.sec.gov/Archives/edgar/data/1561727/0001056404-16-003516-index.html</v>
      </c>
    </row>
    <row r="3758" spans="1:6" x14ac:dyDescent="0.2">
      <c r="A3758" t="s">
        <v>58</v>
      </c>
      <c r="B3758" s="1">
        <v>1563227</v>
      </c>
      <c r="C3758" s="1">
        <v>2020</v>
      </c>
      <c r="D3758" s="2">
        <v>42451</v>
      </c>
      <c r="E3758" s="1" t="s">
        <v>18</v>
      </c>
      <c r="F3758" t="str">
        <f>HYPERLINK("http://www.sec.gov/Archives/edgar/data/1563227/0001213900-16-011777-index.html")</f>
        <v>http://www.sec.gov/Archives/edgar/data/1563227/0001213900-16-011777-index.html</v>
      </c>
    </row>
    <row r="3759" spans="1:6" x14ac:dyDescent="0.2">
      <c r="A3759" t="s">
        <v>3351</v>
      </c>
      <c r="B3759" s="1">
        <v>1566052</v>
      </c>
      <c r="C3759" s="1">
        <v>6189</v>
      </c>
      <c r="D3759" s="2">
        <v>42451</v>
      </c>
      <c r="E3759" s="1" t="s">
        <v>18</v>
      </c>
      <c r="F3759" t="str">
        <f>HYPERLINK("http://www.sec.gov/Archives/edgar/data/1566052/0001056404-16-003500-index.html")</f>
        <v>http://www.sec.gov/Archives/edgar/data/1566052/0001056404-16-003500-index.html</v>
      </c>
    </row>
    <row r="3760" spans="1:6" x14ac:dyDescent="0.2">
      <c r="A3760" t="s">
        <v>3352</v>
      </c>
      <c r="B3760" s="1">
        <v>1580673</v>
      </c>
      <c r="C3760" s="1">
        <v>6798</v>
      </c>
      <c r="D3760" s="2">
        <v>42451</v>
      </c>
      <c r="E3760" s="1" t="s">
        <v>18</v>
      </c>
      <c r="F3760" t="str">
        <f>HYPERLINK("http://www.sec.gov/Archives/edgar/data/1580673/0001580673-16-000123-index.html")</f>
        <v>http://www.sec.gov/Archives/edgar/data/1580673/0001580673-16-000123-index.html</v>
      </c>
    </row>
    <row r="3761" spans="1:6" x14ac:dyDescent="0.2">
      <c r="A3761" t="s">
        <v>2740</v>
      </c>
      <c r="B3761" s="1">
        <v>1580891</v>
      </c>
      <c r="C3761" s="1">
        <v>6189</v>
      </c>
      <c r="D3761" s="2">
        <v>42451</v>
      </c>
      <c r="E3761" s="1" t="s">
        <v>18</v>
      </c>
      <c r="F3761" t="str">
        <f>HYPERLINK("http://www.sec.gov/Archives/edgar/data/1580891/0001056404-16-003511-index.html")</f>
        <v>http://www.sec.gov/Archives/edgar/data/1580891/0001056404-16-003511-index.html</v>
      </c>
    </row>
    <row r="3762" spans="1:6" x14ac:dyDescent="0.2">
      <c r="A3762" t="s">
        <v>3353</v>
      </c>
      <c r="B3762" s="1">
        <v>1586454</v>
      </c>
      <c r="C3762" s="1">
        <v>6022</v>
      </c>
      <c r="D3762" s="2">
        <v>42451</v>
      </c>
      <c r="E3762" s="1" t="s">
        <v>18</v>
      </c>
      <c r="F3762" t="str">
        <f>HYPERLINK("http://www.sec.gov/Archives/edgar/data/1586454/0001193125-16-513324-index.html")</f>
        <v>http://www.sec.gov/Archives/edgar/data/1586454/0001193125-16-513324-index.html</v>
      </c>
    </row>
    <row r="3763" spans="1:6" x14ac:dyDescent="0.2">
      <c r="A3763" t="s">
        <v>3354</v>
      </c>
      <c r="B3763" s="1">
        <v>1586554</v>
      </c>
      <c r="C3763" s="1">
        <v>6770</v>
      </c>
      <c r="D3763" s="2">
        <v>42451</v>
      </c>
      <c r="E3763" s="1" t="s">
        <v>18</v>
      </c>
      <c r="F3763" t="str">
        <f>HYPERLINK("http://www.sec.gov/Archives/edgar/data/1586554/0001144204-16-089606-index.html")</f>
        <v>http://www.sec.gov/Archives/edgar/data/1586554/0001144204-16-089606-index.html</v>
      </c>
    </row>
    <row r="3764" spans="1:6" x14ac:dyDescent="0.2">
      <c r="A3764" t="s">
        <v>2748</v>
      </c>
      <c r="B3764" s="1">
        <v>1587981</v>
      </c>
      <c r="C3764" s="1">
        <v>6189</v>
      </c>
      <c r="D3764" s="2">
        <v>42451</v>
      </c>
      <c r="E3764" s="1" t="s">
        <v>18</v>
      </c>
      <c r="F3764" t="str">
        <f>HYPERLINK("http://www.sec.gov/Archives/edgar/data/1587981/0001056404-16-003512-index.html")</f>
        <v>http://www.sec.gov/Archives/edgar/data/1587981/0001056404-16-003512-index.html</v>
      </c>
    </row>
    <row r="3765" spans="1:6" x14ac:dyDescent="0.2">
      <c r="A3765" t="s">
        <v>3355</v>
      </c>
      <c r="B3765" s="1">
        <v>1603669</v>
      </c>
      <c r="C3765" s="1">
        <v>6189</v>
      </c>
      <c r="D3765" s="2">
        <v>42451</v>
      </c>
      <c r="E3765" s="1" t="s">
        <v>18</v>
      </c>
      <c r="F3765" t="str">
        <f>HYPERLINK("http://www.sec.gov/Archives/edgar/data/1603669/0001020242-16-000299-index.html")</f>
        <v>http://www.sec.gov/Archives/edgar/data/1603669/0001020242-16-000299-index.html</v>
      </c>
    </row>
    <row r="3766" spans="1:6" x14ac:dyDescent="0.2">
      <c r="A3766" t="s">
        <v>3356</v>
      </c>
      <c r="B3766" s="1">
        <v>1609865</v>
      </c>
      <c r="C3766" s="1">
        <v>6798</v>
      </c>
      <c r="D3766" s="2">
        <v>42451</v>
      </c>
      <c r="E3766" s="1" t="s">
        <v>18</v>
      </c>
      <c r="F3766" t="str">
        <f>HYPERLINK("http://www.sec.gov/Archives/edgar/data/1609865/0001609865-16-000021-index.html")</f>
        <v>http://www.sec.gov/Archives/edgar/data/1609865/0001609865-16-000021-index.html</v>
      </c>
    </row>
    <row r="3767" spans="1:6" x14ac:dyDescent="0.2">
      <c r="A3767" t="s">
        <v>3357</v>
      </c>
      <c r="B3767" s="1">
        <v>1621368</v>
      </c>
      <c r="C3767" s="1">
        <v>6189</v>
      </c>
      <c r="D3767" s="2">
        <v>42451</v>
      </c>
      <c r="E3767" s="1" t="s">
        <v>18</v>
      </c>
      <c r="F3767" t="str">
        <f>HYPERLINK("http://www.sec.gov/Archives/edgar/data/1621368/0001056404-16-003498-index.html")</f>
        <v>http://www.sec.gov/Archives/edgar/data/1621368/0001056404-16-003498-index.html</v>
      </c>
    </row>
    <row r="3768" spans="1:6" x14ac:dyDescent="0.2">
      <c r="A3768" t="s">
        <v>3358</v>
      </c>
      <c r="B3768" s="1">
        <v>1623016</v>
      </c>
      <c r="C3768" s="1">
        <v>6770</v>
      </c>
      <c r="D3768" s="2">
        <v>42451</v>
      </c>
      <c r="E3768" s="1" t="s">
        <v>18</v>
      </c>
      <c r="F3768" t="str">
        <f>HYPERLINK("http://www.sec.gov/Archives/edgar/data/1623016/0001213900-16-011767-index.html")</f>
        <v>http://www.sec.gov/Archives/edgar/data/1623016/0001213900-16-011767-index.html</v>
      </c>
    </row>
    <row r="3769" spans="1:6" x14ac:dyDescent="0.2">
      <c r="A3769" t="s">
        <v>3359</v>
      </c>
      <c r="B3769" s="1">
        <v>1629261</v>
      </c>
      <c r="C3769" s="1">
        <v>2080</v>
      </c>
      <c r="D3769" s="2">
        <v>42451</v>
      </c>
      <c r="E3769" s="1" t="s">
        <v>18</v>
      </c>
      <c r="F3769" t="str">
        <f>HYPERLINK("http://www.sec.gov/Archives/edgar/data/1629261/0001144204-16-089609-index.html")</f>
        <v>http://www.sec.gov/Archives/edgar/data/1629261/0001144204-16-089609-index.html</v>
      </c>
    </row>
    <row r="3770" spans="1:6" x14ac:dyDescent="0.2">
      <c r="A3770" t="s">
        <v>3360</v>
      </c>
      <c r="B3770" s="1">
        <v>1634912</v>
      </c>
      <c r="C3770" s="1">
        <v>7374</v>
      </c>
      <c r="D3770" s="2">
        <v>42451</v>
      </c>
      <c r="E3770" s="1" t="s">
        <v>18</v>
      </c>
      <c r="F3770" t="str">
        <f>HYPERLINK("http://www.sec.gov/Archives/edgar/data/1634912/0001213900-16-011779-index.html")</f>
        <v>http://www.sec.gov/Archives/edgar/data/1634912/0001213900-16-011779-index.html</v>
      </c>
    </row>
    <row r="3771" spans="1:6" x14ac:dyDescent="0.2">
      <c r="A3771" t="s">
        <v>3361</v>
      </c>
      <c r="B3771" s="1">
        <v>1637417</v>
      </c>
      <c r="C3771" s="1">
        <v>5812</v>
      </c>
      <c r="D3771" s="2">
        <v>42451</v>
      </c>
      <c r="E3771" s="1" t="s">
        <v>18</v>
      </c>
      <c r="F3771" t="str">
        <f>HYPERLINK("http://www.sec.gov/Archives/edgar/data/1637417/0001193125-16-512275-index.html")</f>
        <v>http://www.sec.gov/Archives/edgar/data/1637417/0001193125-16-512275-index.html</v>
      </c>
    </row>
    <row r="3772" spans="1:6" x14ac:dyDescent="0.2">
      <c r="A3772" t="s">
        <v>3362</v>
      </c>
      <c r="B3772" s="1">
        <v>1642081</v>
      </c>
      <c r="C3772" s="1">
        <v>6022</v>
      </c>
      <c r="D3772" s="2">
        <v>42451</v>
      </c>
      <c r="E3772" s="1" t="s">
        <v>18</v>
      </c>
      <c r="F3772" t="str">
        <f>HYPERLINK("http://www.sec.gov/Archives/edgar/data/1642081/0001171843-16-008729-index.html")</f>
        <v>http://www.sec.gov/Archives/edgar/data/1642081/0001171843-16-008729-index.html</v>
      </c>
    </row>
    <row r="3773" spans="1:6" x14ac:dyDescent="0.2">
      <c r="A3773" t="s">
        <v>2784</v>
      </c>
      <c r="B3773" s="1">
        <v>1646736</v>
      </c>
      <c r="C3773" s="1">
        <v>6189</v>
      </c>
      <c r="D3773" s="2">
        <v>42451</v>
      </c>
      <c r="E3773" s="1" t="s">
        <v>18</v>
      </c>
      <c r="F3773" t="str">
        <f>HYPERLINK("http://www.sec.gov/Archives/edgar/data/1646736/0001056404-16-003506-index.html")</f>
        <v>http://www.sec.gov/Archives/edgar/data/1646736/0001056404-16-003506-index.html</v>
      </c>
    </row>
    <row r="3774" spans="1:6" x14ac:dyDescent="0.2">
      <c r="A3774" t="s">
        <v>3363</v>
      </c>
      <c r="B3774" s="1">
        <v>1650132</v>
      </c>
      <c r="C3774" s="1">
        <v>6798</v>
      </c>
      <c r="D3774" s="2">
        <v>42451</v>
      </c>
      <c r="E3774" s="1" t="s">
        <v>18</v>
      </c>
      <c r="F3774" t="str">
        <f>HYPERLINK("http://www.sec.gov/Archives/edgar/data/1650132/0001650132-16-000041-index.html")</f>
        <v>http://www.sec.gov/Archives/edgar/data/1650132/0001650132-16-000041-index.html</v>
      </c>
    </row>
    <row r="3775" spans="1:6" x14ac:dyDescent="0.2">
      <c r="A3775" t="s">
        <v>2789</v>
      </c>
      <c r="B3775" s="1">
        <v>1651790</v>
      </c>
      <c r="C3775" s="1">
        <v>6189</v>
      </c>
      <c r="D3775" s="2">
        <v>42451</v>
      </c>
      <c r="E3775" s="1" t="s">
        <v>18</v>
      </c>
      <c r="F3775" t="str">
        <f>HYPERLINK("http://www.sec.gov/Archives/edgar/data/1651790/0001056404-16-003502-index.html")</f>
        <v>http://www.sec.gov/Archives/edgar/data/1651790/0001056404-16-003502-index.html</v>
      </c>
    </row>
    <row r="3776" spans="1:6" x14ac:dyDescent="0.2">
      <c r="A3776" t="s">
        <v>3364</v>
      </c>
      <c r="B3776" s="1">
        <v>1653323</v>
      </c>
      <c r="C3776" s="1">
        <v>6189</v>
      </c>
      <c r="D3776" s="2">
        <v>42451</v>
      </c>
      <c r="E3776" s="1" t="s">
        <v>18</v>
      </c>
      <c r="F3776" t="str">
        <f>HYPERLINK("http://www.sec.gov/Archives/edgar/data/1653323/0001056404-16-003505-index.html")</f>
        <v>http://www.sec.gov/Archives/edgar/data/1653323/0001056404-16-003505-index.html</v>
      </c>
    </row>
    <row r="3777" spans="1:6" x14ac:dyDescent="0.2">
      <c r="A3777" t="s">
        <v>3365</v>
      </c>
      <c r="B3777" s="1">
        <v>29534</v>
      </c>
      <c r="C3777" s="1">
        <v>5331</v>
      </c>
      <c r="D3777" s="2">
        <v>42451</v>
      </c>
      <c r="E3777" s="1" t="s">
        <v>18</v>
      </c>
      <c r="F3777" t="str">
        <f>HYPERLINK("http://www.sec.gov/Archives/edgar/data/29534/0001047469-16-011420-index.html")</f>
        <v>http://www.sec.gov/Archives/edgar/data/29534/0001047469-16-011420-index.html</v>
      </c>
    </row>
    <row r="3778" spans="1:6" x14ac:dyDescent="0.2">
      <c r="A3778" t="s">
        <v>3366</v>
      </c>
      <c r="B3778" s="1">
        <v>722313</v>
      </c>
      <c r="C3778" s="1">
        <v>3679</v>
      </c>
      <c r="D3778" s="2">
        <v>42451</v>
      </c>
      <c r="E3778" s="1" t="s">
        <v>18</v>
      </c>
      <c r="F3778" t="str">
        <f>HYPERLINK("http://www.sec.gov/Archives/edgar/data/722313/0001047469-16-011421-index.html")</f>
        <v>http://www.sec.gov/Archives/edgar/data/722313/0001047469-16-011421-index.html</v>
      </c>
    </row>
    <row r="3779" spans="1:6" x14ac:dyDescent="0.2">
      <c r="A3779" t="s">
        <v>3367</v>
      </c>
      <c r="B3779" s="1">
        <v>764897</v>
      </c>
      <c r="C3779" s="1">
        <v>4950</v>
      </c>
      <c r="D3779" s="2">
        <v>42451</v>
      </c>
      <c r="E3779" s="1" t="s">
        <v>18</v>
      </c>
      <c r="F3779" t="str">
        <f>HYPERLINK("http://www.sec.gov/Archives/edgar/data/764897/0001144204-16-089482-index.html")</f>
        <v>http://www.sec.gov/Archives/edgar/data/764897/0001144204-16-089482-index.html</v>
      </c>
    </row>
    <row r="3780" spans="1:6" x14ac:dyDescent="0.2">
      <c r="A3780" t="s">
        <v>3368</v>
      </c>
      <c r="B3780" s="1">
        <v>776008</v>
      </c>
      <c r="C3780" s="1">
        <v>2833</v>
      </c>
      <c r="D3780" s="2">
        <v>42451</v>
      </c>
      <c r="E3780" s="1" t="s">
        <v>18</v>
      </c>
      <c r="F3780" t="str">
        <f>HYPERLINK("http://www.sec.gov/Archives/edgar/data/776008/0001144204-16-089559-index.html")</f>
        <v>http://www.sec.gov/Archives/edgar/data/776008/0001144204-16-089559-index.html</v>
      </c>
    </row>
    <row r="3781" spans="1:6" x14ac:dyDescent="0.2">
      <c r="A3781" t="s">
        <v>3369</v>
      </c>
      <c r="B3781" s="1">
        <v>802967</v>
      </c>
      <c r="C3781" s="1">
        <v>3089</v>
      </c>
      <c r="D3781" s="2">
        <v>42451</v>
      </c>
      <c r="E3781" s="1" t="s">
        <v>18</v>
      </c>
      <c r="F3781" t="str">
        <f>HYPERLINK("http://www.sec.gov/Archives/edgar/data/802967/0000802967-16-000052-index.html")</f>
        <v>http://www.sec.gov/Archives/edgar/data/802967/0000802967-16-000052-index.html</v>
      </c>
    </row>
    <row r="3782" spans="1:6" x14ac:dyDescent="0.2">
      <c r="A3782" t="s">
        <v>3370</v>
      </c>
      <c r="B3782" s="1">
        <v>885322</v>
      </c>
      <c r="C3782" s="1">
        <v>6036</v>
      </c>
      <c r="D3782" s="2">
        <v>42451</v>
      </c>
      <c r="E3782" s="1" t="s">
        <v>42</v>
      </c>
      <c r="F3782" t="str">
        <f>HYPERLINK("http://www.sec.gov/Archives/edgar/data/885322/0001628280-16-012862-index.html")</f>
        <v>http://www.sec.gov/Archives/edgar/data/885322/0001628280-16-012862-index.html</v>
      </c>
    </row>
    <row r="3783" spans="1:6" x14ac:dyDescent="0.2">
      <c r="A3783" t="s">
        <v>3371</v>
      </c>
      <c r="B3783" s="1">
        <v>1325814</v>
      </c>
      <c r="C3783" s="1">
        <v>6111</v>
      </c>
      <c r="D3783" s="2">
        <v>42450</v>
      </c>
      <c r="E3783" s="1" t="s">
        <v>18</v>
      </c>
      <c r="F3783" t="str">
        <f>HYPERLINK("http://www.sec.gov/Archives/edgar/data/1325814/0001325814-16-000274-index.html")</f>
        <v>http://www.sec.gov/Archives/edgar/data/1325814/0001325814-16-000274-index.html</v>
      </c>
    </row>
    <row r="3784" spans="1:6" x14ac:dyDescent="0.2">
      <c r="A3784" t="s">
        <v>3372</v>
      </c>
      <c r="B3784" s="1">
        <v>1327467</v>
      </c>
      <c r="C3784" s="1">
        <v>2834</v>
      </c>
      <c r="D3784" s="2">
        <v>42450</v>
      </c>
      <c r="E3784" s="1" t="s">
        <v>18</v>
      </c>
      <c r="F3784" t="str">
        <f>HYPERLINK("http://www.sec.gov/Archives/edgar/data/1327467/0001144204-16-089052-index.html")</f>
        <v>http://www.sec.gov/Archives/edgar/data/1327467/0001144204-16-089052-index.html</v>
      </c>
    </row>
    <row r="3785" spans="1:6" x14ac:dyDescent="0.2">
      <c r="A3785" t="s">
        <v>3373</v>
      </c>
      <c r="B3785" s="1">
        <v>1329842</v>
      </c>
      <c r="C3785" s="1">
        <v>6111</v>
      </c>
      <c r="D3785" s="2">
        <v>42450</v>
      </c>
      <c r="E3785" s="1" t="s">
        <v>18</v>
      </c>
      <c r="F3785" t="str">
        <f>HYPERLINK("http://www.sec.gov/Archives/edgar/data/1329842/0001104659-16-106664-index.html")</f>
        <v>http://www.sec.gov/Archives/edgar/data/1329842/0001104659-16-106664-index.html</v>
      </c>
    </row>
    <row r="3786" spans="1:6" x14ac:dyDescent="0.2">
      <c r="A3786" t="s">
        <v>3374</v>
      </c>
      <c r="B3786" s="1">
        <v>1367832</v>
      </c>
      <c r="C3786" s="1">
        <v>8071</v>
      </c>
      <c r="D3786" s="2">
        <v>42450</v>
      </c>
      <c r="E3786" s="1" t="s">
        <v>18</v>
      </c>
      <c r="F3786" t="str">
        <f>HYPERLINK("http://www.sec.gov/Archives/edgar/data/1367832/0001564590-16-015086-index.html")</f>
        <v>http://www.sec.gov/Archives/edgar/data/1367832/0001564590-16-015086-index.html</v>
      </c>
    </row>
    <row r="3787" spans="1:6" x14ac:dyDescent="0.2">
      <c r="A3787" t="s">
        <v>3375</v>
      </c>
      <c r="B3787" s="1">
        <v>1390533</v>
      </c>
      <c r="C3787" s="1">
        <v>6770</v>
      </c>
      <c r="D3787" s="2">
        <v>42450</v>
      </c>
      <c r="E3787" s="1" t="s">
        <v>18</v>
      </c>
      <c r="F3787" t="str">
        <f>HYPERLINK("http://www.sec.gov/Archives/edgar/data/1390533/0001002014-16-000618-index.html")</f>
        <v>http://www.sec.gov/Archives/edgar/data/1390533/0001002014-16-000618-index.html</v>
      </c>
    </row>
    <row r="3788" spans="1:6" x14ac:dyDescent="0.2">
      <c r="A3788" t="s">
        <v>3376</v>
      </c>
      <c r="B3788" s="1">
        <v>1443799</v>
      </c>
      <c r="C3788" s="1">
        <v>4412</v>
      </c>
      <c r="D3788" s="2">
        <v>42450</v>
      </c>
      <c r="E3788" s="1" t="s">
        <v>18</v>
      </c>
      <c r="F3788" t="str">
        <f>HYPERLINK("http://www.sec.gov/Archives/edgar/data/1443799/0001558370-16-004269-index.html")</f>
        <v>http://www.sec.gov/Archives/edgar/data/1443799/0001558370-16-004269-index.html</v>
      </c>
    </row>
    <row r="3789" spans="1:6" x14ac:dyDescent="0.2">
      <c r="A3789" t="s">
        <v>3377</v>
      </c>
      <c r="B3789" s="1">
        <v>1460702</v>
      </c>
      <c r="C3789" s="1">
        <v>2834</v>
      </c>
      <c r="D3789" s="2">
        <v>42450</v>
      </c>
      <c r="E3789" s="1" t="s">
        <v>18</v>
      </c>
      <c r="F3789" t="str">
        <f>HYPERLINK("http://www.sec.gov/Archives/edgar/data/1460702/0001493152-16-008162-index.html")</f>
        <v>http://www.sec.gov/Archives/edgar/data/1460702/0001493152-16-008162-index.html</v>
      </c>
    </row>
    <row r="3790" spans="1:6" x14ac:dyDescent="0.2">
      <c r="A3790" t="s">
        <v>3378</v>
      </c>
      <c r="B3790" s="1">
        <v>1489588</v>
      </c>
      <c r="C3790" s="1">
        <v>2844</v>
      </c>
      <c r="D3790" s="2">
        <v>42450</v>
      </c>
      <c r="E3790" s="1" t="s">
        <v>18</v>
      </c>
      <c r="F3790" t="str">
        <f>HYPERLINK("http://www.sec.gov/Archives/edgar/data/1489588/0001213900-16-011751-index.html")</f>
        <v>http://www.sec.gov/Archives/edgar/data/1489588/0001213900-16-011751-index.html</v>
      </c>
    </row>
    <row r="3791" spans="1:6" x14ac:dyDescent="0.2">
      <c r="A3791" t="s">
        <v>3379</v>
      </c>
      <c r="B3791" s="1">
        <v>1494538</v>
      </c>
      <c r="C3791" s="1">
        <v>5160</v>
      </c>
      <c r="D3791" s="2">
        <v>42450</v>
      </c>
      <c r="E3791" s="1" t="s">
        <v>18</v>
      </c>
      <c r="F3791" t="str">
        <f>HYPERLINK("http://www.sec.gov/Archives/edgar/data/1494538/0001193125-16-511914-index.html")</f>
        <v>http://www.sec.gov/Archives/edgar/data/1494538/0001193125-16-511914-index.html</v>
      </c>
    </row>
    <row r="3792" spans="1:6" x14ac:dyDescent="0.2">
      <c r="A3792" t="s">
        <v>3380</v>
      </c>
      <c r="B3792" s="1">
        <v>1516551</v>
      </c>
      <c r="C3792" s="1">
        <v>2834</v>
      </c>
      <c r="D3792" s="2">
        <v>42450</v>
      </c>
      <c r="E3792" s="1" t="s">
        <v>18</v>
      </c>
      <c r="F3792" t="str">
        <f>HYPERLINK("http://www.sec.gov/Archives/edgar/data/1516551/0001640334-16-000847-index.html")</f>
        <v>http://www.sec.gov/Archives/edgar/data/1516551/0001640334-16-000847-index.html</v>
      </c>
    </row>
    <row r="3793" spans="1:6" x14ac:dyDescent="0.2">
      <c r="A3793" t="s">
        <v>1179</v>
      </c>
      <c r="B3793" s="1">
        <v>1533615</v>
      </c>
      <c r="C3793" s="1">
        <v>7200</v>
      </c>
      <c r="D3793" s="2">
        <v>42450</v>
      </c>
      <c r="E3793" s="1" t="s">
        <v>18</v>
      </c>
      <c r="F3793" t="str">
        <f>HYPERLINK("http://www.sec.gov/Archives/edgar/data/1533615/0001078782-16-002445-index.html")</f>
        <v>http://www.sec.gov/Archives/edgar/data/1533615/0001078782-16-002445-index.html</v>
      </c>
    </row>
    <row r="3794" spans="1:6" x14ac:dyDescent="0.2">
      <c r="A3794" t="s">
        <v>3381</v>
      </c>
      <c r="B3794" s="1">
        <v>1590750</v>
      </c>
      <c r="C3794" s="1">
        <v>8071</v>
      </c>
      <c r="D3794" s="2">
        <v>42450</v>
      </c>
      <c r="E3794" s="1" t="s">
        <v>18</v>
      </c>
      <c r="F3794" t="str">
        <f>HYPERLINK("http://www.sec.gov/Archives/edgar/data/1590750/0001171843-16-008702-index.html")</f>
        <v>http://www.sec.gov/Archives/edgar/data/1590750/0001171843-16-008702-index.html</v>
      </c>
    </row>
    <row r="3795" spans="1:6" x14ac:dyDescent="0.2">
      <c r="A3795" t="s">
        <v>3382</v>
      </c>
      <c r="B3795" s="1">
        <v>1600132</v>
      </c>
      <c r="C3795" s="1">
        <v>2834</v>
      </c>
      <c r="D3795" s="2">
        <v>42450</v>
      </c>
      <c r="E3795" s="1" t="s">
        <v>18</v>
      </c>
      <c r="F3795" t="str">
        <f>HYPERLINK("http://www.sec.gov/Archives/edgar/data/1600132/0001600132-16-000025-index.html")</f>
        <v>http://www.sec.gov/Archives/edgar/data/1600132/0001600132-16-000025-index.html</v>
      </c>
    </row>
    <row r="3796" spans="1:6" x14ac:dyDescent="0.2">
      <c r="A3796" t="s">
        <v>3383</v>
      </c>
      <c r="B3796" s="1">
        <v>1606163</v>
      </c>
      <c r="C3796" s="1">
        <v>6770</v>
      </c>
      <c r="D3796" s="2">
        <v>42450</v>
      </c>
      <c r="E3796" s="1" t="s">
        <v>18</v>
      </c>
      <c r="F3796" t="str">
        <f>HYPERLINK("http://www.sec.gov/Archives/edgar/data/1606163/0001144204-16-089184-index.html")</f>
        <v>http://www.sec.gov/Archives/edgar/data/1606163/0001144204-16-089184-index.html</v>
      </c>
    </row>
    <row r="3797" spans="1:6" x14ac:dyDescent="0.2">
      <c r="A3797" t="s">
        <v>3384</v>
      </c>
      <c r="B3797" s="1">
        <v>1612841</v>
      </c>
      <c r="C3797" s="1">
        <v>6189</v>
      </c>
      <c r="D3797" s="2">
        <v>42450</v>
      </c>
      <c r="E3797" s="1" t="s">
        <v>18</v>
      </c>
      <c r="F3797" t="str">
        <f>HYPERLINK("http://www.sec.gov/Archives/edgar/data/1612841/0001056404-16-003496-index.html")</f>
        <v>http://www.sec.gov/Archives/edgar/data/1612841/0001056404-16-003496-index.html</v>
      </c>
    </row>
    <row r="3798" spans="1:6" x14ac:dyDescent="0.2">
      <c r="A3798" t="s">
        <v>3385</v>
      </c>
      <c r="B3798" s="1">
        <v>1619917</v>
      </c>
      <c r="C3798" s="1">
        <v>6411</v>
      </c>
      <c r="D3798" s="2">
        <v>42450</v>
      </c>
      <c r="E3798" s="1" t="s">
        <v>18</v>
      </c>
      <c r="F3798" t="str">
        <f>HYPERLINK("http://www.sec.gov/Archives/edgar/data/1619917/0001564590-16-015080-index.html")</f>
        <v>http://www.sec.gov/Archives/edgar/data/1619917/0001564590-16-015080-index.html</v>
      </c>
    </row>
    <row r="3799" spans="1:6" x14ac:dyDescent="0.2">
      <c r="A3799" t="s">
        <v>3386</v>
      </c>
      <c r="B3799" s="1">
        <v>1620393</v>
      </c>
      <c r="C3799" s="1">
        <v>6798</v>
      </c>
      <c r="D3799" s="2">
        <v>42450</v>
      </c>
      <c r="E3799" s="1" t="s">
        <v>18</v>
      </c>
      <c r="F3799" t="str">
        <f>HYPERLINK("http://www.sec.gov/Archives/edgar/data/1620393/0001564590-16-015074-index.html")</f>
        <v>http://www.sec.gov/Archives/edgar/data/1620393/0001564590-16-015074-index.html</v>
      </c>
    </row>
    <row r="3800" spans="1:6" x14ac:dyDescent="0.2">
      <c r="A3800" t="s">
        <v>3387</v>
      </c>
      <c r="B3800" s="1">
        <v>1623919</v>
      </c>
      <c r="C3800" s="1">
        <v>3841</v>
      </c>
      <c r="D3800" s="2">
        <v>42450</v>
      </c>
      <c r="E3800" s="1" t="s">
        <v>18</v>
      </c>
      <c r="F3800" t="str">
        <f>HYPERLINK("http://www.sec.gov/Archives/edgar/data/1623919/0001623919-16-000051-index.html")</f>
        <v>http://www.sec.gov/Archives/edgar/data/1623919/0001623919-16-000051-index.html</v>
      </c>
    </row>
    <row r="3801" spans="1:6" x14ac:dyDescent="0.2">
      <c r="A3801" t="s">
        <v>3388</v>
      </c>
      <c r="B3801" s="1">
        <v>1624322</v>
      </c>
      <c r="C3801" s="1">
        <v>6022</v>
      </c>
      <c r="D3801" s="2">
        <v>42450</v>
      </c>
      <c r="E3801" s="1" t="s">
        <v>18</v>
      </c>
      <c r="F3801" t="str">
        <f>HYPERLINK("http://www.sec.gov/Archives/edgar/data/1624322/0001193125-16-510912-index.html")</f>
        <v>http://www.sec.gov/Archives/edgar/data/1624322/0001193125-16-510912-index.html</v>
      </c>
    </row>
    <row r="3802" spans="1:6" x14ac:dyDescent="0.2">
      <c r="A3802" t="s">
        <v>3389</v>
      </c>
      <c r="B3802" s="1">
        <v>19871</v>
      </c>
      <c r="C3802" s="1">
        <v>3540</v>
      </c>
      <c r="D3802" s="2">
        <v>42450</v>
      </c>
      <c r="E3802" s="1" t="s">
        <v>18</v>
      </c>
      <c r="F3802" t="str">
        <f>HYPERLINK("http://www.sec.gov/Archives/edgar/data/19871/0001193125-16-511898-index.html")</f>
        <v>http://www.sec.gov/Archives/edgar/data/19871/0001193125-16-511898-index.html</v>
      </c>
    </row>
    <row r="3803" spans="1:6" x14ac:dyDescent="0.2">
      <c r="A3803" t="s">
        <v>3390</v>
      </c>
      <c r="B3803" s="1">
        <v>39911</v>
      </c>
      <c r="C3803" s="1">
        <v>5651</v>
      </c>
      <c r="D3803" s="2">
        <v>42450</v>
      </c>
      <c r="E3803" s="1" t="s">
        <v>18</v>
      </c>
      <c r="F3803" t="str">
        <f>HYPERLINK("http://www.sec.gov/Archives/edgar/data/39911/0000039911-16-000269-index.html")</f>
        <v>http://www.sec.gov/Archives/edgar/data/39911/0000039911-16-000269-index.html</v>
      </c>
    </row>
    <row r="3804" spans="1:6" x14ac:dyDescent="0.2">
      <c r="A3804" t="s">
        <v>3391</v>
      </c>
      <c r="B3804" s="1">
        <v>701811</v>
      </c>
      <c r="C3804" s="1">
        <v>7373</v>
      </c>
      <c r="D3804" s="2">
        <v>42450</v>
      </c>
      <c r="E3804" s="1" t="s">
        <v>18</v>
      </c>
      <c r="F3804" t="str">
        <f>HYPERLINK("http://www.sec.gov/Archives/edgar/data/701811/0000701811-16-000016-index.html")</f>
        <v>http://www.sec.gov/Archives/edgar/data/701811/0000701811-16-000016-index.html</v>
      </c>
    </row>
    <row r="3805" spans="1:6" x14ac:dyDescent="0.2">
      <c r="A3805" t="s">
        <v>1566</v>
      </c>
      <c r="B3805" s="1">
        <v>727510</v>
      </c>
      <c r="C3805" s="1">
        <v>2836</v>
      </c>
      <c r="D3805" s="2">
        <v>42450</v>
      </c>
      <c r="E3805" s="1" t="s">
        <v>18</v>
      </c>
      <c r="F3805" t="str">
        <f>HYPERLINK("http://www.sec.gov/Archives/edgar/data/727510/0001144204-16-089172-index.html")</f>
        <v>http://www.sec.gov/Archives/edgar/data/727510/0001144204-16-089172-index.html</v>
      </c>
    </row>
    <row r="3806" spans="1:6" x14ac:dyDescent="0.2">
      <c r="A3806" t="s">
        <v>3392</v>
      </c>
      <c r="B3806" s="1">
        <v>818677</v>
      </c>
      <c r="C3806" s="1">
        <v>6035</v>
      </c>
      <c r="D3806" s="2">
        <v>42450</v>
      </c>
      <c r="E3806" s="1" t="s">
        <v>18</v>
      </c>
      <c r="F3806" t="str">
        <f>HYPERLINK("http://www.sec.gov/Archives/edgar/data/818677/0000939057-16-000719-index.html")</f>
        <v>http://www.sec.gov/Archives/edgar/data/818677/0000939057-16-000719-index.html</v>
      </c>
    </row>
    <row r="3807" spans="1:6" x14ac:dyDescent="0.2">
      <c r="A3807" t="s">
        <v>3393</v>
      </c>
      <c r="B3807" s="1">
        <v>821130</v>
      </c>
      <c r="C3807" s="1">
        <v>4812</v>
      </c>
      <c r="D3807" s="2">
        <v>42450</v>
      </c>
      <c r="E3807" s="1" t="s">
        <v>42</v>
      </c>
      <c r="F3807" t="str">
        <f>HYPERLINK("http://www.sec.gov/Archives/edgar/data/821130/0000821130-16-000058-index.html")</f>
        <v>http://www.sec.gov/Archives/edgar/data/821130/0000821130-16-000058-index.html</v>
      </c>
    </row>
    <row r="3808" spans="1:6" x14ac:dyDescent="0.2">
      <c r="A3808" t="s">
        <v>3394</v>
      </c>
      <c r="B3808" s="1">
        <v>831968</v>
      </c>
      <c r="C3808" s="1">
        <v>4011</v>
      </c>
      <c r="D3808" s="2">
        <v>42450</v>
      </c>
      <c r="E3808" s="1" t="s">
        <v>18</v>
      </c>
      <c r="F3808" t="str">
        <f>HYPERLINK("http://www.sec.gov/Archives/edgar/data/831968/0001564590-16-015102-index.html")</f>
        <v>http://www.sec.gov/Archives/edgar/data/831968/0001564590-16-015102-index.html</v>
      </c>
    </row>
    <row r="3809" spans="1:6" x14ac:dyDescent="0.2">
      <c r="A3809" t="s">
        <v>3395</v>
      </c>
      <c r="B3809" s="1">
        <v>890264</v>
      </c>
      <c r="C3809" s="1">
        <v>7372</v>
      </c>
      <c r="D3809" s="2">
        <v>42450</v>
      </c>
      <c r="E3809" s="1" t="s">
        <v>18</v>
      </c>
      <c r="F3809" t="str">
        <f>HYPERLINK("http://www.sec.gov/Archives/edgar/data/890264/0001193125-16-511938-index.html")</f>
        <v>http://www.sec.gov/Archives/edgar/data/890264/0001193125-16-511938-index.html</v>
      </c>
    </row>
    <row r="3810" spans="1:6" x14ac:dyDescent="0.2">
      <c r="A3810" t="s">
        <v>3396</v>
      </c>
      <c r="B3810" s="1">
        <v>89140</v>
      </c>
      <c r="C3810" s="1">
        <v>3420</v>
      </c>
      <c r="D3810" s="2">
        <v>42450</v>
      </c>
      <c r="E3810" s="1" t="s">
        <v>18</v>
      </c>
      <c r="F3810" t="str">
        <f>HYPERLINK("http://www.sec.gov/Archives/edgar/data/89140/0001571049-16-013245-index.html")</f>
        <v>http://www.sec.gov/Archives/edgar/data/89140/0001571049-16-013245-index.html</v>
      </c>
    </row>
    <row r="3811" spans="1:6" x14ac:dyDescent="0.2">
      <c r="A3811" t="s">
        <v>3397</v>
      </c>
      <c r="B3811" s="1">
        <v>934739</v>
      </c>
      <c r="C3811" s="1">
        <v>6035</v>
      </c>
      <c r="D3811" s="2">
        <v>42450</v>
      </c>
      <c r="E3811" s="1" t="s">
        <v>18</v>
      </c>
      <c r="F3811" t="str">
        <f>HYPERLINK("http://www.sec.gov/Archives/edgar/data/934739/0001571049-16-013229-index.html")</f>
        <v>http://www.sec.gov/Archives/edgar/data/934739/0001571049-16-013229-index.html</v>
      </c>
    </row>
    <row r="3812" spans="1:6" x14ac:dyDescent="0.2">
      <c r="A3812" t="s">
        <v>3398</v>
      </c>
      <c r="B3812" s="1">
        <v>1021270</v>
      </c>
      <c r="C3812" s="1">
        <v>5812</v>
      </c>
      <c r="D3812" s="2">
        <v>42447</v>
      </c>
      <c r="E3812" s="1" t="s">
        <v>18</v>
      </c>
      <c r="F3812" t="str">
        <f>HYPERLINK("http://www.sec.gov/Archives/edgar/data/1021270/0001193125-16-510524-index.html")</f>
        <v>http://www.sec.gov/Archives/edgar/data/1021270/0001193125-16-510524-index.html</v>
      </c>
    </row>
    <row r="3813" spans="1:6" x14ac:dyDescent="0.2">
      <c r="A3813" t="s">
        <v>3399</v>
      </c>
      <c r="B3813" s="1">
        <v>105418</v>
      </c>
      <c r="C3813" s="1">
        <v>5411</v>
      </c>
      <c r="D3813" s="2">
        <v>42447</v>
      </c>
      <c r="E3813" s="1" t="s">
        <v>18</v>
      </c>
      <c r="F3813" t="str">
        <f>HYPERLINK("http://www.sec.gov/Archives/edgar/data/105418/0000105418-16-000069-index.html")</f>
        <v>http://www.sec.gov/Archives/edgar/data/105418/0000105418-16-000069-index.html</v>
      </c>
    </row>
    <row r="3814" spans="1:6" x14ac:dyDescent="0.2">
      <c r="A3814" t="s">
        <v>3400</v>
      </c>
      <c r="B3814" s="1">
        <v>1080657</v>
      </c>
      <c r="C3814" s="1">
        <v>6798</v>
      </c>
      <c r="D3814" s="2">
        <v>42447</v>
      </c>
      <c r="E3814" s="1" t="s">
        <v>18</v>
      </c>
      <c r="F3814" t="str">
        <f>HYPERLINK("http://www.sec.gov/Archives/edgar/data/1080657/0001564590-16-015051-index.html")</f>
        <v>http://www.sec.gov/Archives/edgar/data/1080657/0001564590-16-015051-index.html</v>
      </c>
    </row>
    <row r="3815" spans="1:6" x14ac:dyDescent="0.2">
      <c r="A3815" t="s">
        <v>3401</v>
      </c>
      <c r="B3815" s="1">
        <v>1083643</v>
      </c>
      <c r="C3815" s="1">
        <v>6022</v>
      </c>
      <c r="D3815" s="2">
        <v>42447</v>
      </c>
      <c r="E3815" s="1" t="s">
        <v>18</v>
      </c>
      <c r="F3815" t="str">
        <f>HYPERLINK("http://www.sec.gov/Archives/edgar/data/1083643/0001083643-16-000051-index.html")</f>
        <v>http://www.sec.gov/Archives/edgar/data/1083643/0001083643-16-000051-index.html</v>
      </c>
    </row>
    <row r="3816" spans="1:6" x14ac:dyDescent="0.2">
      <c r="A3816" t="s">
        <v>3402</v>
      </c>
      <c r="B3816" s="1">
        <v>1089473</v>
      </c>
      <c r="C3816" s="1">
        <v>8742</v>
      </c>
      <c r="D3816" s="2">
        <v>42447</v>
      </c>
      <c r="E3816" s="1" t="s">
        <v>18</v>
      </c>
      <c r="F3816" t="str">
        <f>HYPERLINK("http://www.sec.gov/Archives/edgar/data/1089473/0001564590-16-015058-index.html")</f>
        <v>http://www.sec.gov/Archives/edgar/data/1089473/0001564590-16-015058-index.html</v>
      </c>
    </row>
    <row r="3817" spans="1:6" x14ac:dyDescent="0.2">
      <c r="A3817" t="s">
        <v>3403</v>
      </c>
      <c r="B3817" s="1">
        <v>1100878</v>
      </c>
      <c r="C3817" s="1">
        <v>6200</v>
      </c>
      <c r="D3817" s="2">
        <v>42447</v>
      </c>
      <c r="E3817" s="1" t="s">
        <v>18</v>
      </c>
      <c r="F3817" t="str">
        <f>HYPERLINK("http://www.sec.gov/Archives/edgar/data/1100878/0001104659-16-106134-index.html")</f>
        <v>http://www.sec.gov/Archives/edgar/data/1100878/0001104659-16-106134-index.html</v>
      </c>
    </row>
    <row r="3818" spans="1:6" x14ac:dyDescent="0.2">
      <c r="A3818" t="s">
        <v>3404</v>
      </c>
      <c r="B3818" s="1">
        <v>1156041</v>
      </c>
      <c r="C3818" s="1">
        <v>1311</v>
      </c>
      <c r="D3818" s="2">
        <v>42447</v>
      </c>
      <c r="E3818" s="1" t="s">
        <v>18</v>
      </c>
      <c r="F3818" t="str">
        <f>HYPERLINK("http://www.sec.gov/Archives/edgar/data/1156041/0001567619-16-002037-index.html")</f>
        <v>http://www.sec.gov/Archives/edgar/data/1156041/0001567619-16-002037-index.html</v>
      </c>
    </row>
    <row r="3819" spans="1:6" x14ac:dyDescent="0.2">
      <c r="A3819" t="s">
        <v>3405</v>
      </c>
      <c r="B3819" s="1">
        <v>1267565</v>
      </c>
      <c r="C3819" s="1">
        <v>2834</v>
      </c>
      <c r="D3819" s="2">
        <v>42447</v>
      </c>
      <c r="E3819" s="1" t="s">
        <v>18</v>
      </c>
      <c r="F3819" t="str">
        <f>HYPERLINK("http://www.sec.gov/Archives/edgar/data/1267565/0001558370-16-004252-index.html")</f>
        <v>http://www.sec.gov/Archives/edgar/data/1267565/0001558370-16-004252-index.html</v>
      </c>
    </row>
    <row r="3820" spans="1:6" x14ac:dyDescent="0.2">
      <c r="A3820" t="s">
        <v>3406</v>
      </c>
      <c r="B3820" s="1">
        <v>1307748</v>
      </c>
      <c r="C3820" s="1">
        <v>6798</v>
      </c>
      <c r="D3820" s="2">
        <v>42447</v>
      </c>
      <c r="E3820" s="1" t="s">
        <v>18</v>
      </c>
      <c r="F3820" t="str">
        <f>HYPERLINK("http://www.sec.gov/Archives/edgar/data/1307748/0001307748-16-000031-index.html")</f>
        <v>http://www.sec.gov/Archives/edgar/data/1307748/0001307748-16-000031-index.html</v>
      </c>
    </row>
    <row r="3821" spans="1:6" x14ac:dyDescent="0.2">
      <c r="A3821" t="s">
        <v>3407</v>
      </c>
      <c r="B3821" s="1">
        <v>1308711</v>
      </c>
      <c r="C3821" s="1">
        <v>6798</v>
      </c>
      <c r="D3821" s="2">
        <v>42447</v>
      </c>
      <c r="E3821" s="1" t="s">
        <v>18</v>
      </c>
      <c r="F3821" t="str">
        <f>HYPERLINK("http://www.sec.gov/Archives/edgar/data/1308711/0001628280-16-012786-index.html")</f>
        <v>http://www.sec.gov/Archives/edgar/data/1308711/0001628280-16-012786-index.html</v>
      </c>
    </row>
    <row r="3822" spans="1:6" x14ac:dyDescent="0.2">
      <c r="A3822" t="s">
        <v>3408</v>
      </c>
      <c r="B3822" s="1">
        <v>1309132</v>
      </c>
      <c r="C3822" s="1">
        <v>6221</v>
      </c>
      <c r="D3822" s="2">
        <v>42447</v>
      </c>
      <c r="E3822" s="1" t="s">
        <v>18</v>
      </c>
      <c r="F3822" t="str">
        <f>HYPERLINK("http://www.sec.gov/Archives/edgar/data/1309132/0001104659-16-106118-index.html")</f>
        <v>http://www.sec.gov/Archives/edgar/data/1309132/0001104659-16-106118-index.html</v>
      </c>
    </row>
    <row r="3823" spans="1:6" x14ac:dyDescent="0.2">
      <c r="A3823" t="s">
        <v>3409</v>
      </c>
      <c r="B3823" s="1">
        <v>1309136</v>
      </c>
      <c r="C3823" s="1">
        <v>6221</v>
      </c>
      <c r="D3823" s="2">
        <v>42447</v>
      </c>
      <c r="E3823" s="1" t="s">
        <v>18</v>
      </c>
      <c r="F3823" t="str">
        <f>HYPERLINK("http://www.sec.gov/Archives/edgar/data/1309136/0001104659-16-106150-index.html")</f>
        <v>http://www.sec.gov/Archives/edgar/data/1309136/0001104659-16-106150-index.html</v>
      </c>
    </row>
    <row r="3824" spans="1:6" x14ac:dyDescent="0.2">
      <c r="A3824" t="s">
        <v>3410</v>
      </c>
      <c r="B3824" s="1">
        <v>1310383</v>
      </c>
      <c r="C3824" s="1">
        <v>6798</v>
      </c>
      <c r="D3824" s="2">
        <v>42447</v>
      </c>
      <c r="E3824" s="1" t="s">
        <v>18</v>
      </c>
      <c r="F3824" t="str">
        <f>HYPERLINK("http://www.sec.gov/Archives/edgar/data/1310383/0001144204-16-088935-index.html")</f>
        <v>http://www.sec.gov/Archives/edgar/data/1310383/0001144204-16-088935-index.html</v>
      </c>
    </row>
    <row r="3825" spans="1:6" x14ac:dyDescent="0.2">
      <c r="A3825" t="s">
        <v>3411</v>
      </c>
      <c r="B3825" s="1">
        <v>1315399</v>
      </c>
      <c r="C3825" s="1">
        <v>6022</v>
      </c>
      <c r="D3825" s="2">
        <v>42447</v>
      </c>
      <c r="E3825" s="1" t="s">
        <v>18</v>
      </c>
      <c r="F3825" t="str">
        <f>HYPERLINK("http://www.sec.gov/Archives/edgar/data/1315399/0001315399-16-000007-index.html")</f>
        <v>http://www.sec.gov/Archives/edgar/data/1315399/0001315399-16-000007-index.html</v>
      </c>
    </row>
    <row r="3826" spans="1:6" x14ac:dyDescent="0.2">
      <c r="A3826" t="s">
        <v>3412</v>
      </c>
      <c r="B3826" s="1">
        <v>1325964</v>
      </c>
      <c r="C3826" s="1">
        <v>3080</v>
      </c>
      <c r="D3826" s="2">
        <v>42447</v>
      </c>
      <c r="E3826" s="1" t="s">
        <v>18</v>
      </c>
      <c r="F3826" t="str">
        <f>HYPERLINK("http://www.sec.gov/Archives/edgar/data/1325964/0001553350-16-001731-index.html")</f>
        <v>http://www.sec.gov/Archives/edgar/data/1325964/0001553350-16-001731-index.html</v>
      </c>
    </row>
    <row r="3827" spans="1:6" x14ac:dyDescent="0.2">
      <c r="A3827" t="s">
        <v>3413</v>
      </c>
      <c r="B3827" s="1">
        <v>1331463</v>
      </c>
      <c r="C3827" s="1">
        <v>6111</v>
      </c>
      <c r="D3827" s="2">
        <v>42447</v>
      </c>
      <c r="E3827" s="1" t="s">
        <v>18</v>
      </c>
      <c r="F3827" t="str">
        <f>HYPERLINK("http://www.sec.gov/Archives/edgar/data/1331463/0001331463-16-000266-index.html")</f>
        <v>http://www.sec.gov/Archives/edgar/data/1331463/0001331463-16-000266-index.html</v>
      </c>
    </row>
    <row r="3828" spans="1:6" x14ac:dyDescent="0.2">
      <c r="A3828" t="s">
        <v>3414</v>
      </c>
      <c r="B3828" s="1">
        <v>1349437</v>
      </c>
      <c r="C3828" s="1">
        <v>4899</v>
      </c>
      <c r="D3828" s="2">
        <v>42447</v>
      </c>
      <c r="E3828" s="1" t="s">
        <v>18</v>
      </c>
      <c r="F3828" t="str">
        <f>HYPERLINK("http://www.sec.gov/Archives/edgar/data/1349437/0001437749-16-028047-index.html")</f>
        <v>http://www.sec.gov/Archives/edgar/data/1349437/0001437749-16-028047-index.html</v>
      </c>
    </row>
    <row r="3829" spans="1:6" x14ac:dyDescent="0.2">
      <c r="A3829" t="s">
        <v>3415</v>
      </c>
      <c r="B3829" s="1">
        <v>1399406</v>
      </c>
      <c r="C3829" s="1">
        <v>6221</v>
      </c>
      <c r="D3829" s="2">
        <v>42447</v>
      </c>
      <c r="E3829" s="1" t="s">
        <v>18</v>
      </c>
      <c r="F3829" t="str">
        <f>HYPERLINK("http://www.sec.gov/Archives/edgar/data/1399406/0001104659-16-106147-index.html")</f>
        <v>http://www.sec.gov/Archives/edgar/data/1399406/0001104659-16-106147-index.html</v>
      </c>
    </row>
    <row r="3830" spans="1:6" x14ac:dyDescent="0.2">
      <c r="A3830" t="s">
        <v>3416</v>
      </c>
      <c r="B3830" s="1">
        <v>1416265</v>
      </c>
      <c r="C3830" s="1">
        <v>6199</v>
      </c>
      <c r="D3830" s="2">
        <v>42447</v>
      </c>
      <c r="E3830" s="1" t="s">
        <v>18</v>
      </c>
      <c r="F3830" t="str">
        <f>HYPERLINK("http://www.sec.gov/Archives/edgar/data/1416265/0001564590-16-015019-index.html")</f>
        <v>http://www.sec.gov/Archives/edgar/data/1416265/0001564590-16-015019-index.html</v>
      </c>
    </row>
    <row r="3831" spans="1:6" x14ac:dyDescent="0.2">
      <c r="A3831" t="s">
        <v>3417</v>
      </c>
      <c r="B3831" s="1">
        <v>1452168</v>
      </c>
      <c r="C3831" s="1">
        <v>6798</v>
      </c>
      <c r="D3831" s="2">
        <v>42447</v>
      </c>
      <c r="E3831" s="1" t="s">
        <v>18</v>
      </c>
      <c r="F3831" t="str">
        <f>HYPERLINK("http://www.sec.gov/Archives/edgar/data/1452168/0001193125-16-510462-index.html")</f>
        <v>http://www.sec.gov/Archives/edgar/data/1452168/0001193125-16-510462-index.html</v>
      </c>
    </row>
    <row r="3832" spans="1:6" x14ac:dyDescent="0.2">
      <c r="A3832" t="s">
        <v>3418</v>
      </c>
      <c r="B3832" s="1">
        <v>1456189</v>
      </c>
      <c r="C3832" s="1">
        <v>3751</v>
      </c>
      <c r="D3832" s="2">
        <v>42447</v>
      </c>
      <c r="E3832" s="1" t="s">
        <v>18</v>
      </c>
      <c r="F3832" t="str">
        <f>HYPERLINK("http://www.sec.gov/Archives/edgar/data/1456189/0001062993-16-008402-index.html")</f>
        <v>http://www.sec.gov/Archives/edgar/data/1456189/0001062993-16-008402-index.html</v>
      </c>
    </row>
    <row r="3833" spans="1:6" x14ac:dyDescent="0.2">
      <c r="A3833" t="s">
        <v>3419</v>
      </c>
      <c r="B3833" s="1">
        <v>1460329</v>
      </c>
      <c r="C3833" s="1">
        <v>7310</v>
      </c>
      <c r="D3833" s="2">
        <v>42447</v>
      </c>
      <c r="E3833" s="1" t="s">
        <v>18</v>
      </c>
      <c r="F3833" t="str">
        <f>HYPERLINK("http://www.sec.gov/Archives/edgar/data/1460329/0001193125-16-510510-index.html")</f>
        <v>http://www.sec.gov/Archives/edgar/data/1460329/0001193125-16-510510-index.html</v>
      </c>
    </row>
    <row r="3834" spans="1:6" x14ac:dyDescent="0.2">
      <c r="A3834" t="s">
        <v>3420</v>
      </c>
      <c r="B3834" s="1">
        <v>1465264</v>
      </c>
      <c r="C3834" s="1">
        <v>5000</v>
      </c>
      <c r="D3834" s="2">
        <v>42447</v>
      </c>
      <c r="E3834" s="1" t="s">
        <v>18</v>
      </c>
      <c r="F3834" t="str">
        <f>HYPERLINK("http://www.sec.gov/Archives/edgar/data/1465264/0001047469-16-011316-index.html")</f>
        <v>http://www.sec.gov/Archives/edgar/data/1465264/0001047469-16-011316-index.html</v>
      </c>
    </row>
    <row r="3835" spans="1:6" x14ac:dyDescent="0.2">
      <c r="A3835" t="s">
        <v>3421</v>
      </c>
      <c r="B3835" s="1">
        <v>1467652</v>
      </c>
      <c r="C3835" s="1">
        <v>2834</v>
      </c>
      <c r="D3835" s="2">
        <v>42447</v>
      </c>
      <c r="E3835" s="1" t="s">
        <v>18</v>
      </c>
      <c r="F3835" t="str">
        <f>HYPERLINK("http://www.sec.gov/Archives/edgar/data/1467652/0001047469-16-011314-index.html")</f>
        <v>http://www.sec.gov/Archives/edgar/data/1467652/0001047469-16-011314-index.html</v>
      </c>
    </row>
    <row r="3836" spans="1:6" x14ac:dyDescent="0.2">
      <c r="A3836" t="s">
        <v>3422</v>
      </c>
      <c r="B3836" s="1">
        <v>1468010</v>
      </c>
      <c r="C3836" s="1">
        <v>6798</v>
      </c>
      <c r="D3836" s="2">
        <v>42447</v>
      </c>
      <c r="E3836" s="1" t="s">
        <v>18</v>
      </c>
      <c r="F3836" t="str">
        <f>HYPERLINK("http://www.sec.gov/Archives/edgar/data/1468010/0001468010-16-000049-index.html")</f>
        <v>http://www.sec.gov/Archives/edgar/data/1468010/0001468010-16-000049-index.html</v>
      </c>
    </row>
    <row r="3837" spans="1:6" x14ac:dyDescent="0.2">
      <c r="A3837" t="s">
        <v>3423</v>
      </c>
      <c r="B3837" s="1">
        <v>1471270</v>
      </c>
      <c r="C3837" s="1">
        <v>6221</v>
      </c>
      <c r="D3837" s="2">
        <v>42447</v>
      </c>
      <c r="E3837" s="1" t="s">
        <v>18</v>
      </c>
      <c r="F3837" t="str">
        <f>HYPERLINK("http://www.sec.gov/Archives/edgar/data/1471270/0001104659-16-106124-index.html")</f>
        <v>http://www.sec.gov/Archives/edgar/data/1471270/0001104659-16-106124-index.html</v>
      </c>
    </row>
    <row r="3838" spans="1:6" x14ac:dyDescent="0.2">
      <c r="A3838" t="s">
        <v>3424</v>
      </c>
      <c r="B3838" s="1">
        <v>1471781</v>
      </c>
      <c r="C3838" s="1">
        <v>8742</v>
      </c>
      <c r="D3838" s="2">
        <v>42447</v>
      </c>
      <c r="E3838" s="1" t="s">
        <v>18</v>
      </c>
      <c r="F3838" t="str">
        <f>HYPERLINK("http://www.sec.gov/Archives/edgar/data/1471781/0001615774-16-004519-index.html")</f>
        <v>http://www.sec.gov/Archives/edgar/data/1471781/0001615774-16-004519-index.html</v>
      </c>
    </row>
    <row r="3839" spans="1:6" x14ac:dyDescent="0.2">
      <c r="A3839" t="s">
        <v>3425</v>
      </c>
      <c r="B3839" s="1">
        <v>1487997</v>
      </c>
      <c r="C3839" s="1">
        <v>7200</v>
      </c>
      <c r="D3839" s="2">
        <v>42447</v>
      </c>
      <c r="E3839" s="1" t="s">
        <v>18</v>
      </c>
      <c r="F3839" t="str">
        <f>HYPERLINK("http://www.sec.gov/Archives/edgar/data/1487997/0001445866-16-001718-index.html")</f>
        <v>http://www.sec.gov/Archives/edgar/data/1487997/0001445866-16-001718-index.html</v>
      </c>
    </row>
    <row r="3840" spans="1:6" x14ac:dyDescent="0.2">
      <c r="A3840" t="s">
        <v>1123</v>
      </c>
      <c r="B3840" s="1">
        <v>1508381</v>
      </c>
      <c r="C3840" s="1">
        <v>3842</v>
      </c>
      <c r="D3840" s="2">
        <v>42447</v>
      </c>
      <c r="E3840" s="1" t="s">
        <v>18</v>
      </c>
      <c r="F3840" t="str">
        <f>HYPERLINK("http://www.sec.gov/Archives/edgar/data/1508381/0001144204-16-088928-index.html")</f>
        <v>http://www.sec.gov/Archives/edgar/data/1508381/0001144204-16-088928-index.html</v>
      </c>
    </row>
    <row r="3841" spans="1:6" x14ac:dyDescent="0.2">
      <c r="A3841" t="s">
        <v>3426</v>
      </c>
      <c r="B3841" s="1">
        <v>1515317</v>
      </c>
      <c r="C3841" s="1">
        <v>1000</v>
      </c>
      <c r="D3841" s="2">
        <v>42447</v>
      </c>
      <c r="E3841" s="1" t="s">
        <v>18</v>
      </c>
      <c r="F3841" t="str">
        <f>HYPERLINK("http://www.sec.gov/Archives/edgar/data/1515317/0001011034-16-000146-index.html")</f>
        <v>http://www.sec.gov/Archives/edgar/data/1515317/0001011034-16-000146-index.html</v>
      </c>
    </row>
    <row r="3842" spans="1:6" x14ac:dyDescent="0.2">
      <c r="A3842" t="s">
        <v>3427</v>
      </c>
      <c r="B3842" s="1">
        <v>1533106</v>
      </c>
      <c r="C3842" s="1">
        <v>8742</v>
      </c>
      <c r="D3842" s="2">
        <v>42447</v>
      </c>
      <c r="E3842" s="1" t="s">
        <v>18</v>
      </c>
      <c r="F3842" t="str">
        <f>HYPERLINK("http://www.sec.gov/Archives/edgar/data/1533106/0001493152-16-008126-index.html")</f>
        <v>http://www.sec.gov/Archives/edgar/data/1533106/0001493152-16-008126-index.html</v>
      </c>
    </row>
    <row r="3843" spans="1:6" x14ac:dyDescent="0.2">
      <c r="A3843" t="s">
        <v>3428</v>
      </c>
      <c r="B3843" s="1">
        <v>1540334</v>
      </c>
      <c r="C3843" s="1">
        <v>700</v>
      </c>
      <c r="D3843" s="2">
        <v>42447</v>
      </c>
      <c r="E3843" s="1" t="s">
        <v>18</v>
      </c>
      <c r="F3843" t="str">
        <f>HYPERLINK("http://www.sec.gov/Archives/edgar/data/1540334/0001376474-16-000592-index.html")</f>
        <v>http://www.sec.gov/Archives/edgar/data/1540334/0001376474-16-000592-index.html</v>
      </c>
    </row>
    <row r="3844" spans="1:6" x14ac:dyDescent="0.2">
      <c r="A3844" t="s">
        <v>3429</v>
      </c>
      <c r="B3844" s="1">
        <v>1542574</v>
      </c>
      <c r="C3844" s="1">
        <v>6199</v>
      </c>
      <c r="D3844" s="2">
        <v>42447</v>
      </c>
      <c r="E3844" s="1" t="s">
        <v>18</v>
      </c>
      <c r="F3844" t="str">
        <f>HYPERLINK("http://www.sec.gov/Archives/edgar/data/1542574/0001564590-16-015019-index.html")</f>
        <v>http://www.sec.gov/Archives/edgar/data/1542574/0001564590-16-015019-index.html</v>
      </c>
    </row>
    <row r="3845" spans="1:6" x14ac:dyDescent="0.2">
      <c r="A3845" t="s">
        <v>3430</v>
      </c>
      <c r="B3845" s="1">
        <v>1552451</v>
      </c>
      <c r="C3845" s="1">
        <v>2834</v>
      </c>
      <c r="D3845" s="2">
        <v>42447</v>
      </c>
      <c r="E3845" s="1" t="s">
        <v>18</v>
      </c>
      <c r="F3845" t="str">
        <f>HYPERLINK("http://www.sec.gov/Archives/edgar/data/1552451/0001564590-16-015044-index.html")</f>
        <v>http://www.sec.gov/Archives/edgar/data/1552451/0001564590-16-015044-index.html</v>
      </c>
    </row>
    <row r="3846" spans="1:6" x14ac:dyDescent="0.2">
      <c r="A3846" t="s">
        <v>3431</v>
      </c>
      <c r="B3846" s="1">
        <v>1564657</v>
      </c>
      <c r="C3846" s="1">
        <v>6798</v>
      </c>
      <c r="D3846" s="2">
        <v>42447</v>
      </c>
      <c r="E3846" s="1" t="s">
        <v>18</v>
      </c>
      <c r="F3846" t="str">
        <f>HYPERLINK("http://www.sec.gov/Archives/edgar/data/1564657/0001564657-16-000147-index.html")</f>
        <v>http://www.sec.gov/Archives/edgar/data/1564657/0001564657-16-000147-index.html</v>
      </c>
    </row>
    <row r="3847" spans="1:6" x14ac:dyDescent="0.2">
      <c r="A3847" t="s">
        <v>3432</v>
      </c>
      <c r="B3847" s="1">
        <v>1566445</v>
      </c>
      <c r="C3847" s="1">
        <v>6798</v>
      </c>
      <c r="D3847" s="2">
        <v>42447</v>
      </c>
      <c r="E3847" s="1" t="s">
        <v>18</v>
      </c>
      <c r="F3847" t="str">
        <f>HYPERLINK("http://www.sec.gov/Archives/edgar/data/1566445/0001193125-16-510162-index.html")</f>
        <v>http://www.sec.gov/Archives/edgar/data/1566445/0001193125-16-510162-index.html</v>
      </c>
    </row>
    <row r="3848" spans="1:6" x14ac:dyDescent="0.2">
      <c r="A3848" t="s">
        <v>3433</v>
      </c>
      <c r="B3848" s="1">
        <v>1571636</v>
      </c>
      <c r="C3848" s="1">
        <v>4955</v>
      </c>
      <c r="D3848" s="2">
        <v>42447</v>
      </c>
      <c r="E3848" s="1" t="s">
        <v>18</v>
      </c>
      <c r="F3848" t="str">
        <f>HYPERLINK("http://www.sec.gov/Archives/edgar/data/1571636/0001213900-16-011707-index.html")</f>
        <v>http://www.sec.gov/Archives/edgar/data/1571636/0001213900-16-011707-index.html</v>
      </c>
    </row>
    <row r="3849" spans="1:6" x14ac:dyDescent="0.2">
      <c r="A3849" t="s">
        <v>3434</v>
      </c>
      <c r="B3849" s="1">
        <v>1573097</v>
      </c>
      <c r="C3849" s="1">
        <v>5000</v>
      </c>
      <c r="D3849" s="2">
        <v>42447</v>
      </c>
      <c r="E3849" s="1" t="s">
        <v>18</v>
      </c>
      <c r="F3849" t="str">
        <f>HYPERLINK("http://www.sec.gov/Archives/edgar/data/1573097/0001047469-16-011316-index.html")</f>
        <v>http://www.sec.gov/Archives/edgar/data/1573097/0001047469-16-011316-index.html</v>
      </c>
    </row>
    <row r="3850" spans="1:6" x14ac:dyDescent="0.2">
      <c r="A3850" t="s">
        <v>3435</v>
      </c>
      <c r="B3850" s="1">
        <v>1599891</v>
      </c>
      <c r="C3850" s="1">
        <v>6035</v>
      </c>
      <c r="D3850" s="2">
        <v>42447</v>
      </c>
      <c r="E3850" s="1" t="s">
        <v>18</v>
      </c>
      <c r="F3850" t="str">
        <f>HYPERLINK("http://www.sec.gov/Archives/edgar/data/1599891/0001193125-16-510486-index.html")</f>
        <v>http://www.sec.gov/Archives/edgar/data/1599891/0001193125-16-510486-index.html</v>
      </c>
    </row>
    <row r="3851" spans="1:6" x14ac:dyDescent="0.2">
      <c r="A3851" t="s">
        <v>3436</v>
      </c>
      <c r="B3851" s="1">
        <v>1605674</v>
      </c>
      <c r="C3851" s="1">
        <v>8731</v>
      </c>
      <c r="D3851" s="2">
        <v>42447</v>
      </c>
      <c r="E3851" s="1" t="s">
        <v>18</v>
      </c>
      <c r="F3851" t="str">
        <f>HYPERLINK("http://www.sec.gov/Archives/edgar/data/1605674/0001019687-16-005514-index.html")</f>
        <v>http://www.sec.gov/Archives/edgar/data/1605674/0001019687-16-005514-index.html</v>
      </c>
    </row>
    <row r="3852" spans="1:6" x14ac:dyDescent="0.2">
      <c r="A3852" t="s">
        <v>3437</v>
      </c>
      <c r="B3852" s="1">
        <v>1610618</v>
      </c>
      <c r="C3852" s="1">
        <v>2836</v>
      </c>
      <c r="D3852" s="2">
        <v>42447</v>
      </c>
      <c r="E3852" s="1" t="s">
        <v>18</v>
      </c>
      <c r="F3852" t="str">
        <f>HYPERLINK("http://www.sec.gov/Archives/edgar/data/1610618/0001564590-16-015007-index.html")</f>
        <v>http://www.sec.gov/Archives/edgar/data/1610618/0001564590-16-015007-index.html</v>
      </c>
    </row>
    <row r="3853" spans="1:6" x14ac:dyDescent="0.2">
      <c r="A3853" t="s">
        <v>3438</v>
      </c>
      <c r="B3853" s="1">
        <v>1611110</v>
      </c>
      <c r="C3853" s="1">
        <v>6282</v>
      </c>
      <c r="D3853" s="2">
        <v>42447</v>
      </c>
      <c r="E3853" s="1" t="s">
        <v>18</v>
      </c>
      <c r="F3853" t="str">
        <f>HYPERLINK("http://www.sec.gov/Archives/edgar/data/1611110/0001144204-16-088789-index.html")</f>
        <v>http://www.sec.gov/Archives/edgar/data/1611110/0001144204-16-088789-index.html</v>
      </c>
    </row>
    <row r="3854" spans="1:6" x14ac:dyDescent="0.2">
      <c r="A3854" t="s">
        <v>3439</v>
      </c>
      <c r="B3854" s="1">
        <v>1611988</v>
      </c>
      <c r="C3854" s="1">
        <v>6282</v>
      </c>
      <c r="D3854" s="2">
        <v>42447</v>
      </c>
      <c r="E3854" s="1" t="s">
        <v>18</v>
      </c>
      <c r="F3854" t="str">
        <f>HYPERLINK("http://www.sec.gov/Archives/edgar/data/1611988/0001611988-16-000027-index.html")</f>
        <v>http://www.sec.gov/Archives/edgar/data/1611988/0001611988-16-000027-index.html</v>
      </c>
    </row>
    <row r="3855" spans="1:6" x14ac:dyDescent="0.2">
      <c r="A3855" t="s">
        <v>3440</v>
      </c>
      <c r="B3855" s="1">
        <v>1616736</v>
      </c>
      <c r="C3855" s="1">
        <v>3944</v>
      </c>
      <c r="D3855" s="2">
        <v>42447</v>
      </c>
      <c r="E3855" s="1" t="s">
        <v>18</v>
      </c>
      <c r="F3855" t="str">
        <f>HYPERLINK("http://www.sec.gov/Archives/edgar/data/1616736/0001165527-16-000696-index.html")</f>
        <v>http://www.sec.gov/Archives/edgar/data/1616736/0001165527-16-000696-index.html</v>
      </c>
    </row>
    <row r="3856" spans="1:6" x14ac:dyDescent="0.2">
      <c r="A3856" t="s">
        <v>3441</v>
      </c>
      <c r="B3856" s="1">
        <v>1617572</v>
      </c>
      <c r="C3856" s="1">
        <v>5812</v>
      </c>
      <c r="D3856" s="2">
        <v>42447</v>
      </c>
      <c r="E3856" s="1" t="s">
        <v>18</v>
      </c>
      <c r="F3856" t="str">
        <f>HYPERLINK("http://www.sec.gov/Archives/edgar/data/1617572/0001144204-16-088972-index.html")</f>
        <v>http://www.sec.gov/Archives/edgar/data/1617572/0001144204-16-088972-index.html</v>
      </c>
    </row>
    <row r="3857" spans="1:6" x14ac:dyDescent="0.2">
      <c r="A3857" t="s">
        <v>3442</v>
      </c>
      <c r="B3857" s="1">
        <v>1635261</v>
      </c>
      <c r="C3857" s="1">
        <v>6035</v>
      </c>
      <c r="D3857" s="2">
        <v>42447</v>
      </c>
      <c r="E3857" s="1" t="s">
        <v>18</v>
      </c>
      <c r="F3857" t="str">
        <f>HYPERLINK("http://www.sec.gov/Archives/edgar/data/1635261/0000946275-16-000245-index.html")</f>
        <v>http://www.sec.gov/Archives/edgar/data/1635261/0000946275-16-000245-index.html</v>
      </c>
    </row>
    <row r="3858" spans="1:6" x14ac:dyDescent="0.2">
      <c r="A3858" t="s">
        <v>3443</v>
      </c>
      <c r="B3858" s="1">
        <v>1636509</v>
      </c>
      <c r="C3858" s="1">
        <v>6799</v>
      </c>
      <c r="D3858" s="2">
        <v>42447</v>
      </c>
      <c r="E3858" s="1" t="s">
        <v>18</v>
      </c>
      <c r="F3858" t="str">
        <f>HYPERLINK("http://www.sec.gov/Archives/edgar/data/1636509/0001477932-16-009091-index.html")</f>
        <v>http://www.sec.gov/Archives/edgar/data/1636509/0001477932-16-009091-index.html</v>
      </c>
    </row>
    <row r="3859" spans="1:6" x14ac:dyDescent="0.2">
      <c r="A3859" t="s">
        <v>3444</v>
      </c>
      <c r="B3859" s="1">
        <v>1652923</v>
      </c>
      <c r="C3859" s="1">
        <v>2836</v>
      </c>
      <c r="D3859" s="2">
        <v>42447</v>
      </c>
      <c r="E3859" s="1" t="s">
        <v>18</v>
      </c>
      <c r="F3859" t="str">
        <f>HYPERLINK("http://www.sec.gov/Archives/edgar/data/1652923/0001047469-16-011350-index.html")</f>
        <v>http://www.sec.gov/Archives/edgar/data/1652923/0001047469-16-011350-index.html</v>
      </c>
    </row>
    <row r="3860" spans="1:6" x14ac:dyDescent="0.2">
      <c r="A3860" t="s">
        <v>3445</v>
      </c>
      <c r="B3860" s="1">
        <v>1660156</v>
      </c>
      <c r="C3860" s="1">
        <v>5160</v>
      </c>
      <c r="D3860" s="2">
        <v>42447</v>
      </c>
      <c r="E3860" s="1" t="s">
        <v>18</v>
      </c>
      <c r="F3860" t="str">
        <f>HYPERLINK("http://www.sec.gov/Archives/edgar/data/1660156/0001660156-16-000019-index.html")</f>
        <v>http://www.sec.gov/Archives/edgar/data/1660156/0001660156-16-000019-index.html</v>
      </c>
    </row>
    <row r="3861" spans="1:6" x14ac:dyDescent="0.2">
      <c r="A3861" t="s">
        <v>3446</v>
      </c>
      <c r="B3861" s="1">
        <v>310826</v>
      </c>
      <c r="C3861" s="1">
        <v>6311</v>
      </c>
      <c r="D3861" s="2">
        <v>42447</v>
      </c>
      <c r="E3861" s="1" t="s">
        <v>18</v>
      </c>
      <c r="F3861" t="str">
        <f>HYPERLINK("http://www.sec.gov/Archives/edgar/data/310826/0000310826-16-000041-index.html")</f>
        <v>http://www.sec.gov/Archives/edgar/data/310826/0000310826-16-000041-index.html</v>
      </c>
    </row>
    <row r="3862" spans="1:6" x14ac:dyDescent="0.2">
      <c r="A3862" t="s">
        <v>3447</v>
      </c>
      <c r="B3862" s="1">
        <v>317540</v>
      </c>
      <c r="C3862" s="1">
        <v>2086</v>
      </c>
      <c r="D3862" s="2">
        <v>42447</v>
      </c>
      <c r="E3862" s="1" t="s">
        <v>18</v>
      </c>
      <c r="F3862" t="str">
        <f>HYPERLINK("http://www.sec.gov/Archives/edgar/data/317540/0001564590-16-015048-index.html")</f>
        <v>http://www.sec.gov/Archives/edgar/data/317540/0001564590-16-015048-index.html</v>
      </c>
    </row>
    <row r="3863" spans="1:6" x14ac:dyDescent="0.2">
      <c r="A3863" t="s">
        <v>3448</v>
      </c>
      <c r="B3863" s="1">
        <v>701985</v>
      </c>
      <c r="C3863" s="1">
        <v>5621</v>
      </c>
      <c r="D3863" s="2">
        <v>42447</v>
      </c>
      <c r="E3863" s="1" t="s">
        <v>18</v>
      </c>
      <c r="F3863" t="str">
        <f>HYPERLINK("http://www.sec.gov/Archives/edgar/data/701985/0000701985-16-000051-index.html")</f>
        <v>http://www.sec.gov/Archives/edgar/data/701985/0000701985-16-000051-index.html</v>
      </c>
    </row>
    <row r="3864" spans="1:6" x14ac:dyDescent="0.2">
      <c r="A3864" t="s">
        <v>3449</v>
      </c>
      <c r="B3864" s="1">
        <v>719135</v>
      </c>
      <c r="C3864" s="1">
        <v>3841</v>
      </c>
      <c r="D3864" s="2">
        <v>42447</v>
      </c>
      <c r="E3864" s="1" t="s">
        <v>18</v>
      </c>
      <c r="F3864" t="str">
        <f>HYPERLINK("http://www.sec.gov/Archives/edgar/data/719135/0001477932-16-009087-index.html")</f>
        <v>http://www.sec.gov/Archives/edgar/data/719135/0001477932-16-009087-index.html</v>
      </c>
    </row>
    <row r="3865" spans="1:6" x14ac:dyDescent="0.2">
      <c r="A3865" t="s">
        <v>3450</v>
      </c>
      <c r="B3865" s="1">
        <v>727920</v>
      </c>
      <c r="C3865" s="1">
        <v>6411</v>
      </c>
      <c r="D3865" s="2">
        <v>42447</v>
      </c>
      <c r="E3865" s="1" t="s">
        <v>18</v>
      </c>
      <c r="F3865" t="str">
        <f>HYPERLINK("http://www.sec.gov/Archives/edgar/data/727920/0000727920-16-000005-index.html")</f>
        <v>http://www.sec.gov/Archives/edgar/data/727920/0000727920-16-000005-index.html</v>
      </c>
    </row>
    <row r="3866" spans="1:6" x14ac:dyDescent="0.2">
      <c r="A3866" t="s">
        <v>3451</v>
      </c>
      <c r="B3866" s="1">
        <v>800457</v>
      </c>
      <c r="C3866" s="1">
        <v>6331</v>
      </c>
      <c r="D3866" s="2">
        <v>42447</v>
      </c>
      <c r="E3866" s="1" t="s">
        <v>18</v>
      </c>
      <c r="F3866" t="str">
        <f>HYPERLINK("http://www.sec.gov/Archives/edgar/data/800457/0001193125-16-510014-index.html")</f>
        <v>http://www.sec.gov/Archives/edgar/data/800457/0001193125-16-510014-index.html</v>
      </c>
    </row>
    <row r="3867" spans="1:6" x14ac:dyDescent="0.2">
      <c r="A3867" t="s">
        <v>1362</v>
      </c>
      <c r="B3867" s="1">
        <v>813298</v>
      </c>
      <c r="C3867" s="1">
        <v>5651</v>
      </c>
      <c r="D3867" s="2">
        <v>42447</v>
      </c>
      <c r="E3867" s="1" t="s">
        <v>18</v>
      </c>
      <c r="F3867" t="str">
        <f>HYPERLINK("http://www.sec.gov/Archives/edgar/data/813298/0001564590-16-015060-index.html")</f>
        <v>http://www.sec.gov/Archives/edgar/data/813298/0001564590-16-015060-index.html</v>
      </c>
    </row>
    <row r="3868" spans="1:6" x14ac:dyDescent="0.2">
      <c r="A3868" t="s">
        <v>3452</v>
      </c>
      <c r="B3868" s="1">
        <v>836658</v>
      </c>
      <c r="C3868" s="1">
        <v>6311</v>
      </c>
      <c r="D3868" s="2">
        <v>42447</v>
      </c>
      <c r="E3868" s="1" t="s">
        <v>18</v>
      </c>
      <c r="F3868" t="str">
        <f>HYPERLINK("http://www.sec.gov/Archives/edgar/data/836658/0000836658-16-000036-index.html")</f>
        <v>http://www.sec.gov/Archives/edgar/data/836658/0000836658-16-000036-index.html</v>
      </c>
    </row>
    <row r="3869" spans="1:6" x14ac:dyDescent="0.2">
      <c r="A3869" t="s">
        <v>3453</v>
      </c>
      <c r="B3869" s="1">
        <v>837010</v>
      </c>
      <c r="C3869" s="1">
        <v>6311</v>
      </c>
      <c r="D3869" s="2">
        <v>42447</v>
      </c>
      <c r="E3869" s="1" t="s">
        <v>18</v>
      </c>
      <c r="F3869" t="str">
        <f>HYPERLINK("http://www.sec.gov/Archives/edgar/data/837010/0000837010-16-000081-index.html")</f>
        <v>http://www.sec.gov/Archives/edgar/data/837010/0000837010-16-000081-index.html</v>
      </c>
    </row>
    <row r="3870" spans="1:6" x14ac:dyDescent="0.2">
      <c r="A3870" t="s">
        <v>3454</v>
      </c>
      <c r="B3870" s="1">
        <v>839470</v>
      </c>
      <c r="C3870" s="1">
        <v>1000</v>
      </c>
      <c r="D3870" s="2">
        <v>42447</v>
      </c>
      <c r="E3870" s="1" t="s">
        <v>18</v>
      </c>
      <c r="F3870" t="str">
        <f>HYPERLINK("http://www.sec.gov/Archives/edgar/data/839470/0001052918-16-000869-index.html")</f>
        <v>http://www.sec.gov/Archives/edgar/data/839470/0001052918-16-000869-index.html</v>
      </c>
    </row>
    <row r="3871" spans="1:6" x14ac:dyDescent="0.2">
      <c r="A3871" t="s">
        <v>3455</v>
      </c>
      <c r="B3871" s="1">
        <v>853496</v>
      </c>
      <c r="C3871" s="1">
        <v>6500</v>
      </c>
      <c r="D3871" s="2">
        <v>42447</v>
      </c>
      <c r="E3871" s="1" t="s">
        <v>18</v>
      </c>
      <c r="F3871" t="str">
        <f>HYPERLINK("http://www.sec.gov/Archives/edgar/data/853496/0001193125-16-510297-index.html")</f>
        <v>http://www.sec.gov/Archives/edgar/data/853496/0001193125-16-510297-index.html</v>
      </c>
    </row>
    <row r="3872" spans="1:6" x14ac:dyDescent="0.2">
      <c r="A3872" t="s">
        <v>3456</v>
      </c>
      <c r="B3872" s="1">
        <v>865058</v>
      </c>
      <c r="C3872" s="1">
        <v>6311</v>
      </c>
      <c r="D3872" s="2">
        <v>42447</v>
      </c>
      <c r="E3872" s="1" t="s">
        <v>18</v>
      </c>
      <c r="F3872" t="str">
        <f>HYPERLINK("http://www.sec.gov/Archives/edgar/data/865058/0000865058-16-000073-index.html")</f>
        <v>http://www.sec.gov/Archives/edgar/data/865058/0000865058-16-000073-index.html</v>
      </c>
    </row>
    <row r="3873" spans="1:6" x14ac:dyDescent="0.2">
      <c r="A3873" t="s">
        <v>3457</v>
      </c>
      <c r="B3873" s="1">
        <v>872912</v>
      </c>
      <c r="C3873" s="1">
        <v>3841</v>
      </c>
      <c r="D3873" s="2">
        <v>42447</v>
      </c>
      <c r="E3873" s="1" t="s">
        <v>18</v>
      </c>
      <c r="F3873" t="str">
        <f>HYPERLINK("http://www.sec.gov/Archives/edgar/data/872912/0001564590-16-015042-index.html")</f>
        <v>http://www.sec.gov/Archives/edgar/data/872912/0001564590-16-015042-index.html</v>
      </c>
    </row>
    <row r="3874" spans="1:6" x14ac:dyDescent="0.2">
      <c r="A3874" t="s">
        <v>3458</v>
      </c>
      <c r="B3874" s="1">
        <v>875355</v>
      </c>
      <c r="C3874" s="1">
        <v>7310</v>
      </c>
      <c r="D3874" s="2">
        <v>42447</v>
      </c>
      <c r="E3874" s="1" t="s">
        <v>18</v>
      </c>
      <c r="F3874" t="str">
        <f>HYPERLINK("http://www.sec.gov/Archives/edgar/data/875355/0001104659-16-106382-index.html")</f>
        <v>http://www.sec.gov/Archives/edgar/data/875355/0001104659-16-106382-index.html</v>
      </c>
    </row>
    <row r="3875" spans="1:6" x14ac:dyDescent="0.2">
      <c r="A3875" t="s">
        <v>3459</v>
      </c>
      <c r="B3875" s="1">
        <v>882508</v>
      </c>
      <c r="C3875" s="1">
        <v>3674</v>
      </c>
      <c r="D3875" s="2">
        <v>42447</v>
      </c>
      <c r="E3875" s="1" t="s">
        <v>18</v>
      </c>
      <c r="F3875" t="str">
        <f>HYPERLINK("http://www.sec.gov/Archives/edgar/data/882508/0000882508-16-000049-index.html")</f>
        <v>http://www.sec.gov/Archives/edgar/data/882508/0000882508-16-000049-index.html</v>
      </c>
    </row>
    <row r="3876" spans="1:6" x14ac:dyDescent="0.2">
      <c r="A3876" t="s">
        <v>3460</v>
      </c>
      <c r="B3876" s="1">
        <v>883943</v>
      </c>
      <c r="C3876" s="1">
        <v>5621</v>
      </c>
      <c r="D3876" s="2">
        <v>42447</v>
      </c>
      <c r="E3876" s="1" t="s">
        <v>18</v>
      </c>
      <c r="F3876" t="str">
        <f>HYPERLINK("http://www.sec.gov/Archives/edgar/data/883943/0001558370-16-004236-index.html")</f>
        <v>http://www.sec.gov/Archives/edgar/data/883943/0001558370-16-004236-index.html</v>
      </c>
    </row>
    <row r="3877" spans="1:6" x14ac:dyDescent="0.2">
      <c r="A3877" t="s">
        <v>3461</v>
      </c>
      <c r="B3877" s="1">
        <v>885639</v>
      </c>
      <c r="C3877" s="1">
        <v>5311</v>
      </c>
      <c r="D3877" s="2">
        <v>42447</v>
      </c>
      <c r="E3877" s="1" t="s">
        <v>18</v>
      </c>
      <c r="F3877" t="str">
        <f>HYPERLINK("http://www.sec.gov/Archives/edgar/data/885639/0000885639-16-000033-index.html")</f>
        <v>http://www.sec.gov/Archives/edgar/data/885639/0000885639-16-000033-index.html</v>
      </c>
    </row>
    <row r="3878" spans="1:6" x14ac:dyDescent="0.2">
      <c r="A3878" t="s">
        <v>3462</v>
      </c>
      <c r="B3878" s="1">
        <v>934648</v>
      </c>
      <c r="C3878" s="1">
        <v>7948</v>
      </c>
      <c r="D3878" s="2">
        <v>42447</v>
      </c>
      <c r="E3878" s="1" t="s">
        <v>18</v>
      </c>
      <c r="F3878" t="str">
        <f>HYPERLINK("http://www.sec.gov/Archives/edgar/data/934648/0001437749-16-027974-index.html")</f>
        <v>http://www.sec.gov/Archives/edgar/data/934648/0001437749-16-027974-index.html</v>
      </c>
    </row>
    <row r="3879" spans="1:6" x14ac:dyDescent="0.2">
      <c r="A3879" t="s">
        <v>3463</v>
      </c>
      <c r="B3879" s="1">
        <v>1045810</v>
      </c>
      <c r="C3879" s="1">
        <v>3674</v>
      </c>
      <c r="D3879" s="2">
        <v>42446</v>
      </c>
      <c r="E3879" s="1" t="s">
        <v>18</v>
      </c>
      <c r="F3879" t="str">
        <f>HYPERLINK("http://www.sec.gov/Archives/edgar/data/1045810/0001045810-16-000205-index.html")</f>
        <v>http://www.sec.gov/Archives/edgar/data/1045810/0001045810-16-000205-index.html</v>
      </c>
    </row>
    <row r="3880" spans="1:6" x14ac:dyDescent="0.2">
      <c r="A3880" t="s">
        <v>3464</v>
      </c>
      <c r="B3880" s="1">
        <v>1046995</v>
      </c>
      <c r="C3880" s="1">
        <v>3674</v>
      </c>
      <c r="D3880" s="2">
        <v>42446</v>
      </c>
      <c r="E3880" s="1" t="s">
        <v>18</v>
      </c>
      <c r="F3880" t="str">
        <f>HYPERLINK("http://www.sec.gov/Archives/edgar/data/1046995/0001013762-16-001392-index.html")</f>
        <v>http://www.sec.gov/Archives/edgar/data/1046995/0001013762-16-001392-index.html</v>
      </c>
    </row>
    <row r="3881" spans="1:6" x14ac:dyDescent="0.2">
      <c r="A3881" t="s">
        <v>3465</v>
      </c>
      <c r="B3881" s="1">
        <v>1051251</v>
      </c>
      <c r="C3881" s="1">
        <v>5600</v>
      </c>
      <c r="D3881" s="2">
        <v>42446</v>
      </c>
      <c r="E3881" s="1" t="s">
        <v>18</v>
      </c>
      <c r="F3881" t="str">
        <f>HYPERLINK("http://www.sec.gov/Archives/edgar/data/1051251/0001564590-16-014982-index.html")</f>
        <v>http://www.sec.gov/Archives/edgar/data/1051251/0001564590-16-014982-index.html</v>
      </c>
    </row>
    <row r="3882" spans="1:6" x14ac:dyDescent="0.2">
      <c r="A3882" t="s">
        <v>3466</v>
      </c>
      <c r="B3882" s="1">
        <v>1059562</v>
      </c>
      <c r="C3882" s="1">
        <v>3728</v>
      </c>
      <c r="D3882" s="2">
        <v>42446</v>
      </c>
      <c r="E3882" s="1" t="s">
        <v>42</v>
      </c>
      <c r="F3882" t="str">
        <f>HYPERLINK("http://www.sec.gov/Archives/edgar/data/1059562/0001628280-16-012776-index.html")</f>
        <v>http://www.sec.gov/Archives/edgar/data/1059562/0001628280-16-012776-index.html</v>
      </c>
    </row>
    <row r="3883" spans="1:6" x14ac:dyDescent="0.2">
      <c r="A3883" t="s">
        <v>3467</v>
      </c>
      <c r="B3883" s="1">
        <v>1083220</v>
      </c>
      <c r="C3883" s="1">
        <v>6794</v>
      </c>
      <c r="D3883" s="2">
        <v>42446</v>
      </c>
      <c r="E3883" s="1" t="s">
        <v>18</v>
      </c>
      <c r="F3883" t="str">
        <f>HYPERLINK("http://www.sec.gov/Archives/edgar/data/1083220/0001144204-16-088575-index.html")</f>
        <v>http://www.sec.gov/Archives/edgar/data/1083220/0001144204-16-088575-index.html</v>
      </c>
    </row>
    <row r="3884" spans="1:6" x14ac:dyDescent="0.2">
      <c r="A3884" t="s">
        <v>3468</v>
      </c>
      <c r="B3884" s="1">
        <v>1097430</v>
      </c>
      <c r="C3884" s="1">
        <v>7389</v>
      </c>
      <c r="D3884" s="2">
        <v>42446</v>
      </c>
      <c r="E3884" s="1" t="s">
        <v>18</v>
      </c>
      <c r="F3884" t="str">
        <f>HYPERLINK("http://www.sec.gov/Archives/edgar/data/1097430/0001213900-16-011686-index.html")</f>
        <v>http://www.sec.gov/Archives/edgar/data/1097430/0001213900-16-011686-index.html</v>
      </c>
    </row>
    <row r="3885" spans="1:6" x14ac:dyDescent="0.2">
      <c r="A3885" t="s">
        <v>3469</v>
      </c>
      <c r="B3885" s="1">
        <v>1108320</v>
      </c>
      <c r="C3885" s="1">
        <v>3672</v>
      </c>
      <c r="D3885" s="2">
        <v>42446</v>
      </c>
      <c r="E3885" s="1" t="s">
        <v>18</v>
      </c>
      <c r="F3885" t="str">
        <f>HYPERLINK("http://www.sec.gov/Archives/edgar/data/1108320/0001437749-16-027932-index.html")</f>
        <v>http://www.sec.gov/Archives/edgar/data/1108320/0001437749-16-027932-index.html</v>
      </c>
    </row>
    <row r="3886" spans="1:6" x14ac:dyDescent="0.2">
      <c r="A3886" t="s">
        <v>3470</v>
      </c>
      <c r="B3886" s="1">
        <v>1113513</v>
      </c>
      <c r="C3886" s="1">
        <v>7372</v>
      </c>
      <c r="D3886" s="2">
        <v>42446</v>
      </c>
      <c r="E3886" s="1" t="s">
        <v>18</v>
      </c>
      <c r="F3886" t="str">
        <f>HYPERLINK("http://www.sec.gov/Archives/edgar/data/1113513/0001654954-16-000180-index.html")</f>
        <v>http://www.sec.gov/Archives/edgar/data/1113513/0001654954-16-000180-index.html</v>
      </c>
    </row>
    <row r="3887" spans="1:6" x14ac:dyDescent="0.2">
      <c r="A3887" t="s">
        <v>3471</v>
      </c>
      <c r="B3887" s="1">
        <v>1113809</v>
      </c>
      <c r="C3887" s="1">
        <v>5945</v>
      </c>
      <c r="D3887" s="2">
        <v>42446</v>
      </c>
      <c r="E3887" s="1" t="s">
        <v>18</v>
      </c>
      <c r="F3887" t="str">
        <f>HYPERLINK("http://www.sec.gov/Archives/edgar/data/1113809/0001437749-16-027902-index.html")</f>
        <v>http://www.sec.gov/Archives/edgar/data/1113809/0001437749-16-027902-index.html</v>
      </c>
    </row>
    <row r="3888" spans="1:6" x14ac:dyDescent="0.2">
      <c r="A3888" t="s">
        <v>3472</v>
      </c>
      <c r="B3888" s="1">
        <v>1135657</v>
      </c>
      <c r="C3888" s="1">
        <v>1389</v>
      </c>
      <c r="D3888" s="2">
        <v>42446</v>
      </c>
      <c r="E3888" s="1" t="s">
        <v>18</v>
      </c>
      <c r="F3888" t="str">
        <f>HYPERLINK("http://www.sec.gov/Archives/edgar/data/1135657/0001493152-16-008111-index.html")</f>
        <v>http://www.sec.gov/Archives/edgar/data/1135657/0001493152-16-008111-index.html</v>
      </c>
    </row>
    <row r="3889" spans="1:6" x14ac:dyDescent="0.2">
      <c r="A3889" t="s">
        <v>3473</v>
      </c>
      <c r="B3889" s="1">
        <v>1168455</v>
      </c>
      <c r="C3889" s="1">
        <v>6153</v>
      </c>
      <c r="D3889" s="2">
        <v>42446</v>
      </c>
      <c r="E3889" s="1" t="s">
        <v>18</v>
      </c>
      <c r="F3889" t="str">
        <f>HYPERLINK("http://www.sec.gov/Archives/edgar/data/1168455/0001437749-16-027935-index.html")</f>
        <v>http://www.sec.gov/Archives/edgar/data/1168455/0001437749-16-027935-index.html</v>
      </c>
    </row>
    <row r="3890" spans="1:6" x14ac:dyDescent="0.2">
      <c r="A3890" t="s">
        <v>3474</v>
      </c>
      <c r="B3890" s="1">
        <v>1227500</v>
      </c>
      <c r="C3890" s="1">
        <v>6022</v>
      </c>
      <c r="D3890" s="2">
        <v>42446</v>
      </c>
      <c r="E3890" s="1" t="s">
        <v>18</v>
      </c>
      <c r="F3890" t="str">
        <f>HYPERLINK("http://www.sec.gov/Archives/edgar/data/1227500/0001193125-16-508569-index.html")</f>
        <v>http://www.sec.gov/Archives/edgar/data/1227500/0001193125-16-508569-index.html</v>
      </c>
    </row>
    <row r="3891" spans="1:6" x14ac:dyDescent="0.2">
      <c r="A3891" t="s">
        <v>3475</v>
      </c>
      <c r="B3891" s="1">
        <v>1275101</v>
      </c>
      <c r="C3891" s="1">
        <v>6022</v>
      </c>
      <c r="D3891" s="2">
        <v>42446</v>
      </c>
      <c r="E3891" s="1" t="s">
        <v>18</v>
      </c>
      <c r="F3891" t="str">
        <f>HYPERLINK("http://www.sec.gov/Archives/edgar/data/1275101/0001193125-16-508336-index.html")</f>
        <v>http://www.sec.gov/Archives/edgar/data/1275101/0001193125-16-508336-index.html</v>
      </c>
    </row>
    <row r="3892" spans="1:6" x14ac:dyDescent="0.2">
      <c r="A3892" t="s">
        <v>3476</v>
      </c>
      <c r="B3892" s="1">
        <v>1318482</v>
      </c>
      <c r="C3892" s="1">
        <v>7900</v>
      </c>
      <c r="D3892" s="2">
        <v>42446</v>
      </c>
      <c r="E3892" s="1" t="s">
        <v>18</v>
      </c>
      <c r="F3892" t="str">
        <f>HYPERLINK("http://www.sec.gov/Archives/edgar/data/1318482/0001318482-16-000010-index.html")</f>
        <v>http://www.sec.gov/Archives/edgar/data/1318482/0001318482-16-000010-index.html</v>
      </c>
    </row>
    <row r="3893" spans="1:6" x14ac:dyDescent="0.2">
      <c r="A3893" t="s">
        <v>3477</v>
      </c>
      <c r="B3893" s="1">
        <v>1326771</v>
      </c>
      <c r="C3893" s="1">
        <v>6111</v>
      </c>
      <c r="D3893" s="2">
        <v>42446</v>
      </c>
      <c r="E3893" s="1" t="s">
        <v>18</v>
      </c>
      <c r="F3893" t="str">
        <f>HYPERLINK("http://www.sec.gov/Archives/edgar/data/1326771/0001326771-16-000038-index.html")</f>
        <v>http://www.sec.gov/Archives/edgar/data/1326771/0001326771-16-000038-index.html</v>
      </c>
    </row>
    <row r="3894" spans="1:6" x14ac:dyDescent="0.2">
      <c r="A3894" t="s">
        <v>3478</v>
      </c>
      <c r="B3894" s="1">
        <v>1339469</v>
      </c>
      <c r="C3894" s="1">
        <v>2834</v>
      </c>
      <c r="D3894" s="2">
        <v>42446</v>
      </c>
      <c r="E3894" s="1" t="s">
        <v>18</v>
      </c>
      <c r="F3894" t="str">
        <f>HYPERLINK("http://www.sec.gov/Archives/edgar/data/1339469/0001193125-16-508691-index.html")</f>
        <v>http://www.sec.gov/Archives/edgar/data/1339469/0001193125-16-508691-index.html</v>
      </c>
    </row>
    <row r="3895" spans="1:6" x14ac:dyDescent="0.2">
      <c r="A3895" t="s">
        <v>3479</v>
      </c>
      <c r="B3895" s="1">
        <v>1352952</v>
      </c>
      <c r="C3895" s="1">
        <v>7389</v>
      </c>
      <c r="D3895" s="2">
        <v>42446</v>
      </c>
      <c r="E3895" s="1" t="s">
        <v>18</v>
      </c>
      <c r="F3895" t="str">
        <f>HYPERLINK("http://www.sec.gov/Archives/edgar/data/1352952/0001437749-16-027968-index.html")</f>
        <v>http://www.sec.gov/Archives/edgar/data/1352952/0001437749-16-027968-index.html</v>
      </c>
    </row>
    <row r="3896" spans="1:6" x14ac:dyDescent="0.2">
      <c r="A3896" t="s">
        <v>3480</v>
      </c>
      <c r="B3896" s="1">
        <v>1386570</v>
      </c>
      <c r="C3896" s="1">
        <v>2833</v>
      </c>
      <c r="D3896" s="2">
        <v>42446</v>
      </c>
      <c r="E3896" s="1" t="s">
        <v>18</v>
      </c>
      <c r="F3896" t="str">
        <f>HYPERLINK("http://www.sec.gov/Archives/edgar/data/1386570/0001415889-16-005140-index.html")</f>
        <v>http://www.sec.gov/Archives/edgar/data/1386570/0001415889-16-005140-index.html</v>
      </c>
    </row>
    <row r="3897" spans="1:6" x14ac:dyDescent="0.2">
      <c r="A3897" t="s">
        <v>3481</v>
      </c>
      <c r="B3897" s="1">
        <v>1415684</v>
      </c>
      <c r="C3897" s="1">
        <v>2834</v>
      </c>
      <c r="D3897" s="2">
        <v>42446</v>
      </c>
      <c r="E3897" s="1" t="s">
        <v>18</v>
      </c>
      <c r="F3897" t="str">
        <f>HYPERLINK("http://www.sec.gov/Archives/edgar/data/1415684/0001193125-16-507417-index.html")</f>
        <v>http://www.sec.gov/Archives/edgar/data/1415684/0001193125-16-507417-index.html</v>
      </c>
    </row>
    <row r="3898" spans="1:6" x14ac:dyDescent="0.2">
      <c r="A3898" t="s">
        <v>3482</v>
      </c>
      <c r="B3898" s="1">
        <v>1422143</v>
      </c>
      <c r="C3898" s="1">
        <v>2834</v>
      </c>
      <c r="D3898" s="2">
        <v>42446</v>
      </c>
      <c r="E3898" s="1" t="s">
        <v>18</v>
      </c>
      <c r="F3898" t="str">
        <f>HYPERLINK("http://www.sec.gov/Archives/edgar/data/1422143/0001564590-16-014998-index.html")</f>
        <v>http://www.sec.gov/Archives/edgar/data/1422143/0001564590-16-014998-index.html</v>
      </c>
    </row>
    <row r="3899" spans="1:6" x14ac:dyDescent="0.2">
      <c r="A3899" t="s">
        <v>1538</v>
      </c>
      <c r="B3899" s="1">
        <v>1444363</v>
      </c>
      <c r="C3899" s="1">
        <v>6221</v>
      </c>
      <c r="D3899" s="2">
        <v>42446</v>
      </c>
      <c r="E3899" s="1" t="s">
        <v>18</v>
      </c>
      <c r="F3899" t="str">
        <f>HYPERLINK("http://www.sec.gov/Archives/edgar/data/1444363/0001444363-16-000191-index.html")</f>
        <v>http://www.sec.gov/Archives/edgar/data/1444363/0001444363-16-000191-index.html</v>
      </c>
    </row>
    <row r="3900" spans="1:6" x14ac:dyDescent="0.2">
      <c r="A3900" t="s">
        <v>3483</v>
      </c>
      <c r="B3900" s="1">
        <v>1455650</v>
      </c>
      <c r="C3900" s="1">
        <v>6798</v>
      </c>
      <c r="D3900" s="2">
        <v>42446</v>
      </c>
      <c r="E3900" s="1" t="s">
        <v>18</v>
      </c>
      <c r="F3900" t="str">
        <f>HYPERLINK("http://www.sec.gov/Archives/edgar/data/1455650/0001455650-16-000034-index.html")</f>
        <v>http://www.sec.gov/Archives/edgar/data/1455650/0001455650-16-000034-index.html</v>
      </c>
    </row>
    <row r="3901" spans="1:6" x14ac:dyDescent="0.2">
      <c r="A3901" t="s">
        <v>3484</v>
      </c>
      <c r="B3901" s="1">
        <v>1503458</v>
      </c>
      <c r="C3901" s="1">
        <v>5411</v>
      </c>
      <c r="D3901" s="2">
        <v>42446</v>
      </c>
      <c r="E3901" s="1" t="s">
        <v>18</v>
      </c>
      <c r="F3901" t="str">
        <f>HYPERLINK("http://www.sec.gov/Archives/edgar/data/1503458/0001393905-16-000782-index.html")</f>
        <v>http://www.sec.gov/Archives/edgar/data/1503458/0001393905-16-000782-index.html</v>
      </c>
    </row>
    <row r="3902" spans="1:6" x14ac:dyDescent="0.2">
      <c r="A3902" t="s">
        <v>3485</v>
      </c>
      <c r="B3902" s="1">
        <v>1512077</v>
      </c>
      <c r="C3902" s="1">
        <v>4899</v>
      </c>
      <c r="D3902" s="2">
        <v>42446</v>
      </c>
      <c r="E3902" s="1" t="s">
        <v>18</v>
      </c>
      <c r="F3902" t="str">
        <f>HYPERLINK("http://www.sec.gov/Archives/edgar/data/1512077/0001512077-16-000022-index.html")</f>
        <v>http://www.sec.gov/Archives/edgar/data/1512077/0001512077-16-000022-index.html</v>
      </c>
    </row>
    <row r="3903" spans="1:6" x14ac:dyDescent="0.2">
      <c r="A3903" t="s">
        <v>1635</v>
      </c>
      <c r="B3903" s="1">
        <v>1515156</v>
      </c>
      <c r="C3903" s="1">
        <v>2890</v>
      </c>
      <c r="D3903" s="2">
        <v>42446</v>
      </c>
      <c r="E3903" s="1" t="s">
        <v>42</v>
      </c>
      <c r="F3903" t="str">
        <f>HYPERLINK("http://www.sec.gov/Archives/edgar/data/1515156/0001515156-16-000074-index.html")</f>
        <v>http://www.sec.gov/Archives/edgar/data/1515156/0001515156-16-000074-index.html</v>
      </c>
    </row>
    <row r="3904" spans="1:6" x14ac:dyDescent="0.2">
      <c r="A3904" t="s">
        <v>3486</v>
      </c>
      <c r="B3904" s="1">
        <v>1571833</v>
      </c>
      <c r="C3904" s="1">
        <v>4841</v>
      </c>
      <c r="D3904" s="2">
        <v>42446</v>
      </c>
      <c r="E3904" s="1" t="s">
        <v>18</v>
      </c>
      <c r="F3904" t="str">
        <f>HYPERLINK("http://www.sec.gov/Archives/edgar/data/1571833/0001047469-16-011284-index.html")</f>
        <v>http://www.sec.gov/Archives/edgar/data/1571833/0001047469-16-011284-index.html</v>
      </c>
    </row>
    <row r="3905" spans="1:6" x14ac:dyDescent="0.2">
      <c r="A3905" t="s">
        <v>3487</v>
      </c>
      <c r="B3905" s="1">
        <v>1584831</v>
      </c>
      <c r="C3905" s="1">
        <v>6331</v>
      </c>
      <c r="D3905" s="2">
        <v>42446</v>
      </c>
      <c r="E3905" s="1" t="s">
        <v>18</v>
      </c>
      <c r="F3905" t="str">
        <f>HYPERLINK("http://www.sec.gov/Archives/edgar/data/1584831/0001654954-16-000181-index.html")</f>
        <v>http://www.sec.gov/Archives/edgar/data/1584831/0001654954-16-000181-index.html</v>
      </c>
    </row>
    <row r="3906" spans="1:6" x14ac:dyDescent="0.2">
      <c r="A3906" t="s">
        <v>3488</v>
      </c>
      <c r="B3906" s="1">
        <v>1591890</v>
      </c>
      <c r="C3906" s="1">
        <v>6331</v>
      </c>
      <c r="D3906" s="2">
        <v>42446</v>
      </c>
      <c r="E3906" s="1" t="s">
        <v>18</v>
      </c>
      <c r="F3906" t="str">
        <f>HYPERLINK("http://www.sec.gov/Archives/edgar/data/1591890/0001387131-16-004603-index.html")</f>
        <v>http://www.sec.gov/Archives/edgar/data/1591890/0001387131-16-004603-index.html</v>
      </c>
    </row>
    <row r="3907" spans="1:6" x14ac:dyDescent="0.2">
      <c r="A3907" t="s">
        <v>3489</v>
      </c>
      <c r="B3907" s="1">
        <v>1593936</v>
      </c>
      <c r="C3907" s="1">
        <v>5945</v>
      </c>
      <c r="D3907" s="2">
        <v>42446</v>
      </c>
      <c r="E3907" s="1" t="s">
        <v>18</v>
      </c>
      <c r="F3907" t="str">
        <f>HYPERLINK("http://www.sec.gov/Archives/edgar/data/1593936/0001558370-16-004206-index.html")</f>
        <v>http://www.sec.gov/Archives/edgar/data/1593936/0001558370-16-004206-index.html</v>
      </c>
    </row>
    <row r="3908" spans="1:6" x14ac:dyDescent="0.2">
      <c r="A3908" t="s">
        <v>3490</v>
      </c>
      <c r="B3908" s="1">
        <v>1612630</v>
      </c>
      <c r="C3908" s="1">
        <v>6794</v>
      </c>
      <c r="D3908" s="2">
        <v>42446</v>
      </c>
      <c r="E3908" s="1" t="s">
        <v>18</v>
      </c>
      <c r="F3908" t="str">
        <f>HYPERLINK("http://www.sec.gov/Archives/edgar/data/1612630/0001171843-16-008640-index.html")</f>
        <v>http://www.sec.gov/Archives/edgar/data/1612630/0001171843-16-008640-index.html</v>
      </c>
    </row>
    <row r="3909" spans="1:6" x14ac:dyDescent="0.2">
      <c r="A3909" t="s">
        <v>3491</v>
      </c>
      <c r="B3909" s="1">
        <v>1640266</v>
      </c>
      <c r="C3909" s="1">
        <v>2836</v>
      </c>
      <c r="D3909" s="2">
        <v>42446</v>
      </c>
      <c r="E3909" s="1" t="s">
        <v>18</v>
      </c>
      <c r="F3909" t="str">
        <f>HYPERLINK("http://www.sec.gov/Archives/edgar/data/1640266/0001558370-16-004222-index.html")</f>
        <v>http://www.sec.gov/Archives/edgar/data/1640266/0001558370-16-004222-index.html</v>
      </c>
    </row>
    <row r="3910" spans="1:6" x14ac:dyDescent="0.2">
      <c r="A3910" t="s">
        <v>3492</v>
      </c>
      <c r="B3910" s="1">
        <v>1644406</v>
      </c>
      <c r="C3910" s="1">
        <v>6770</v>
      </c>
      <c r="D3910" s="2">
        <v>42446</v>
      </c>
      <c r="E3910" s="1" t="s">
        <v>18</v>
      </c>
      <c r="F3910" t="str">
        <f>HYPERLINK("http://www.sec.gov/Archives/edgar/data/1644406/0001564590-16-014939-index.html")</f>
        <v>http://www.sec.gov/Archives/edgar/data/1644406/0001564590-16-014939-index.html</v>
      </c>
    </row>
    <row r="3911" spans="1:6" x14ac:dyDescent="0.2">
      <c r="A3911" t="s">
        <v>3493</v>
      </c>
      <c r="B3911" s="1">
        <v>27430</v>
      </c>
      <c r="C3911" s="1">
        <v>4931</v>
      </c>
      <c r="D3911" s="2">
        <v>42446</v>
      </c>
      <c r="E3911" s="1" t="s">
        <v>42</v>
      </c>
      <c r="F3911" t="str">
        <f>HYPERLINK("http://www.sec.gov/Archives/edgar/data/27430/0000787250-16-000042-index.html")</f>
        <v>http://www.sec.gov/Archives/edgar/data/27430/0000787250-16-000042-index.html</v>
      </c>
    </row>
    <row r="3912" spans="1:6" x14ac:dyDescent="0.2">
      <c r="A3912" t="s">
        <v>3494</v>
      </c>
      <c r="B3912" s="1">
        <v>746210</v>
      </c>
      <c r="C3912" s="1">
        <v>4813</v>
      </c>
      <c r="D3912" s="2">
        <v>42446</v>
      </c>
      <c r="E3912" s="1" t="s">
        <v>18</v>
      </c>
      <c r="F3912" t="str">
        <f>HYPERLINK("http://www.sec.gov/Archives/edgar/data/746210/0000746210-16-000121-index.html")</f>
        <v>http://www.sec.gov/Archives/edgar/data/746210/0000746210-16-000121-index.html</v>
      </c>
    </row>
    <row r="3913" spans="1:6" x14ac:dyDescent="0.2">
      <c r="A3913" t="s">
        <v>3495</v>
      </c>
      <c r="B3913" s="1">
        <v>787250</v>
      </c>
      <c r="C3913" s="1">
        <v>4931</v>
      </c>
      <c r="D3913" s="2">
        <v>42446</v>
      </c>
      <c r="E3913" s="1" t="s">
        <v>42</v>
      </c>
      <c r="F3913" t="str">
        <f>HYPERLINK("http://www.sec.gov/Archives/edgar/data/787250/0000787250-16-000042-index.html")</f>
        <v>http://www.sec.gov/Archives/edgar/data/787250/0000787250-16-000042-index.html</v>
      </c>
    </row>
    <row r="3914" spans="1:6" x14ac:dyDescent="0.2">
      <c r="A3914" t="s">
        <v>3496</v>
      </c>
      <c r="B3914" s="1">
        <v>835011</v>
      </c>
      <c r="C3914" s="1">
        <v>5180</v>
      </c>
      <c r="D3914" s="2">
        <v>42446</v>
      </c>
      <c r="E3914" s="1" t="s">
        <v>42</v>
      </c>
      <c r="F3914" t="str">
        <f>HYPERLINK("http://www.sec.gov/Archives/edgar/data/835011/0001628280-16-012736-index.html")</f>
        <v>http://www.sec.gov/Archives/edgar/data/835011/0001628280-16-012736-index.html</v>
      </c>
    </row>
    <row r="3915" spans="1:6" x14ac:dyDescent="0.2">
      <c r="A3915" t="s">
        <v>3497</v>
      </c>
      <c r="B3915" s="1">
        <v>849145</v>
      </c>
      <c r="C3915" s="1">
        <v>4822</v>
      </c>
      <c r="D3915" s="2">
        <v>42446</v>
      </c>
      <c r="E3915" s="1" t="s">
        <v>18</v>
      </c>
      <c r="F3915" t="str">
        <f>HYPERLINK("http://www.sec.gov/Archives/edgar/data/849145/0001564590-16-014988-index.html")</f>
        <v>http://www.sec.gov/Archives/edgar/data/849145/0001564590-16-014988-index.html</v>
      </c>
    </row>
    <row r="3916" spans="1:6" x14ac:dyDescent="0.2">
      <c r="A3916" t="s">
        <v>3498</v>
      </c>
      <c r="B3916" s="1">
        <v>868271</v>
      </c>
      <c r="C3916" s="1">
        <v>6021</v>
      </c>
      <c r="D3916" s="2">
        <v>42446</v>
      </c>
      <c r="E3916" s="1" t="s">
        <v>18</v>
      </c>
      <c r="F3916" t="str">
        <f>HYPERLINK("http://www.sec.gov/Archives/edgar/data/868271/0001140361-16-058140-index.html")</f>
        <v>http://www.sec.gov/Archives/edgar/data/868271/0001140361-16-058140-index.html</v>
      </c>
    </row>
    <row r="3917" spans="1:6" x14ac:dyDescent="0.2">
      <c r="A3917" t="s">
        <v>3499</v>
      </c>
      <c r="B3917" s="1">
        <v>879635</v>
      </c>
      <c r="C3917" s="1">
        <v>6022</v>
      </c>
      <c r="D3917" s="2">
        <v>42446</v>
      </c>
      <c r="E3917" s="1" t="s">
        <v>18</v>
      </c>
      <c r="F3917" t="str">
        <f>HYPERLINK("http://www.sec.gov/Archives/edgar/data/879635/0000879635-16-000055-index.html")</f>
        <v>http://www.sec.gov/Archives/edgar/data/879635/0000879635-16-000055-index.html</v>
      </c>
    </row>
    <row r="3918" spans="1:6" x14ac:dyDescent="0.2">
      <c r="A3918" t="s">
        <v>1394</v>
      </c>
      <c r="B3918" s="1">
        <v>892986</v>
      </c>
      <c r="C3918" s="1">
        <v>1311</v>
      </c>
      <c r="D3918" s="2">
        <v>42446</v>
      </c>
      <c r="E3918" s="1" t="s">
        <v>18</v>
      </c>
      <c r="F3918" t="str">
        <f>HYPERLINK("http://www.sec.gov/Archives/edgar/data/892986/0001047469-16-011292-index.html")</f>
        <v>http://www.sec.gov/Archives/edgar/data/892986/0001047469-16-011292-index.html</v>
      </c>
    </row>
    <row r="3919" spans="1:6" x14ac:dyDescent="0.2">
      <c r="A3919" t="s">
        <v>3500</v>
      </c>
      <c r="B3919" s="1">
        <v>907654</v>
      </c>
      <c r="C3919" s="1">
        <v>2835</v>
      </c>
      <c r="D3919" s="2">
        <v>42446</v>
      </c>
      <c r="E3919" s="1" t="s">
        <v>18</v>
      </c>
      <c r="F3919" t="str">
        <f>HYPERLINK("http://www.sec.gov/Archives/edgar/data/907654/0001564590-16-014989-index.html")</f>
        <v>http://www.sec.gov/Archives/edgar/data/907654/0001564590-16-014989-index.html</v>
      </c>
    </row>
    <row r="3920" spans="1:6" x14ac:dyDescent="0.2">
      <c r="A3920" t="s">
        <v>3501</v>
      </c>
      <c r="B3920" s="1">
        <v>922487</v>
      </c>
      <c r="C3920" s="1">
        <v>6022</v>
      </c>
      <c r="D3920" s="2">
        <v>42446</v>
      </c>
      <c r="E3920" s="1" t="s">
        <v>18</v>
      </c>
      <c r="F3920" t="str">
        <f>HYPERLINK("http://www.sec.gov/Archives/edgar/data/922487/0001558370-16-004218-index.html")</f>
        <v>http://www.sec.gov/Archives/edgar/data/922487/0001558370-16-004218-index.html</v>
      </c>
    </row>
    <row r="3921" spans="1:6" x14ac:dyDescent="0.2">
      <c r="A3921" t="s">
        <v>3502</v>
      </c>
      <c r="B3921" s="1">
        <v>945114</v>
      </c>
      <c r="C3921" s="1">
        <v>5961</v>
      </c>
      <c r="D3921" s="2">
        <v>42446</v>
      </c>
      <c r="E3921" s="1" t="s">
        <v>18</v>
      </c>
      <c r="F3921" t="str">
        <f>HYPERLINK("http://www.sec.gov/Archives/edgar/data/945114/0001140361-16-058278-index.html")</f>
        <v>http://www.sec.gov/Archives/edgar/data/945114/0001140361-16-058278-index.html</v>
      </c>
    </row>
    <row r="3922" spans="1:6" x14ac:dyDescent="0.2">
      <c r="A3922" t="s">
        <v>3503</v>
      </c>
      <c r="B3922" s="1">
        <v>96223</v>
      </c>
      <c r="C3922" s="1">
        <v>2011</v>
      </c>
      <c r="D3922" s="2">
        <v>42446</v>
      </c>
      <c r="E3922" s="1" t="s">
        <v>42</v>
      </c>
      <c r="F3922" t="str">
        <f>HYPERLINK("http://www.sec.gov/Archives/edgar/data/96223/0000096223-16-000052-index.html")</f>
        <v>http://www.sec.gov/Archives/edgar/data/96223/0000096223-16-000052-index.html</v>
      </c>
    </row>
    <row r="3923" spans="1:6" x14ac:dyDescent="0.2">
      <c r="A3923" t="s">
        <v>3504</v>
      </c>
      <c r="B3923" s="1">
        <v>1028954</v>
      </c>
      <c r="C3923" s="1">
        <v>6022</v>
      </c>
      <c r="D3923" s="2">
        <v>42445</v>
      </c>
      <c r="E3923" s="1" t="s">
        <v>18</v>
      </c>
      <c r="F3923" t="str">
        <f>HYPERLINK("http://www.sec.gov/Archives/edgar/data/1028954/0001028954-16-000012-index.html")</f>
        <v>http://www.sec.gov/Archives/edgar/data/1028954/0001028954-16-000012-index.html</v>
      </c>
    </row>
    <row r="3924" spans="1:6" x14ac:dyDescent="0.2">
      <c r="A3924" t="s">
        <v>3505</v>
      </c>
      <c r="B3924" s="1">
        <v>1037649</v>
      </c>
      <c r="C3924" s="1">
        <v>2835</v>
      </c>
      <c r="D3924" s="2">
        <v>42445</v>
      </c>
      <c r="E3924" s="1" t="s">
        <v>18</v>
      </c>
      <c r="F3924" t="str">
        <f>HYPERLINK("http://www.sec.gov/Archives/edgar/data/1037649/0001144204-16-088456-index.html")</f>
        <v>http://www.sec.gov/Archives/edgar/data/1037649/0001144204-16-088456-index.html</v>
      </c>
    </row>
    <row r="3925" spans="1:6" x14ac:dyDescent="0.2">
      <c r="A3925" t="s">
        <v>3506</v>
      </c>
      <c r="B3925" s="1">
        <v>1057379</v>
      </c>
      <c r="C3925" s="1">
        <v>8742</v>
      </c>
      <c r="D3925" s="2">
        <v>42445</v>
      </c>
      <c r="E3925" s="1" t="s">
        <v>18</v>
      </c>
      <c r="F3925" t="str">
        <f>HYPERLINK("http://www.sec.gov/Archives/edgar/data/1057379/0001562762-16-000357-index.html")</f>
        <v>http://www.sec.gov/Archives/edgar/data/1057379/0001562762-16-000357-index.html</v>
      </c>
    </row>
    <row r="3926" spans="1:6" x14ac:dyDescent="0.2">
      <c r="A3926" t="s">
        <v>3507</v>
      </c>
      <c r="B3926" s="1">
        <v>1064728</v>
      </c>
      <c r="C3926" s="1">
        <v>1221</v>
      </c>
      <c r="D3926" s="2">
        <v>42445</v>
      </c>
      <c r="E3926" s="1" t="s">
        <v>18</v>
      </c>
      <c r="F3926" t="str">
        <f>HYPERLINK("http://www.sec.gov/Archives/edgar/data/1064728/0001064728-16-000157-index.html")</f>
        <v>http://www.sec.gov/Archives/edgar/data/1064728/0001064728-16-000157-index.html</v>
      </c>
    </row>
    <row r="3927" spans="1:6" x14ac:dyDescent="0.2">
      <c r="A3927" t="s">
        <v>3508</v>
      </c>
      <c r="B3927" s="1">
        <v>1072379</v>
      </c>
      <c r="C3927" s="1">
        <v>2834</v>
      </c>
      <c r="D3927" s="2">
        <v>42445</v>
      </c>
      <c r="E3927" s="1" t="s">
        <v>18</v>
      </c>
      <c r="F3927" t="str">
        <f>HYPERLINK("http://www.sec.gov/Archives/edgar/data/1072379/0001144204-16-088301-index.html")</f>
        <v>http://www.sec.gov/Archives/edgar/data/1072379/0001144204-16-088301-index.html</v>
      </c>
    </row>
    <row r="3928" spans="1:6" x14ac:dyDescent="0.2">
      <c r="A3928" t="s">
        <v>3509</v>
      </c>
      <c r="B3928" s="1">
        <v>1094738</v>
      </c>
      <c r="C3928" s="1">
        <v>6022</v>
      </c>
      <c r="D3928" s="2">
        <v>42445</v>
      </c>
      <c r="E3928" s="1" t="s">
        <v>18</v>
      </c>
      <c r="F3928" t="str">
        <f>HYPERLINK("http://www.sec.gov/Archives/edgar/data/1094738/0001174947-16-002264-index.html")</f>
        <v>http://www.sec.gov/Archives/edgar/data/1094738/0001174947-16-002264-index.html</v>
      </c>
    </row>
    <row r="3929" spans="1:6" x14ac:dyDescent="0.2">
      <c r="A3929" t="s">
        <v>3510</v>
      </c>
      <c r="B3929" s="1">
        <v>110027</v>
      </c>
      <c r="C3929" s="1">
        <v>6500</v>
      </c>
      <c r="D3929" s="2">
        <v>42445</v>
      </c>
      <c r="E3929" s="1" t="s">
        <v>18</v>
      </c>
      <c r="F3929" t="str">
        <f>HYPERLINK("http://www.sec.gov/Archives/edgar/data/110027/0001567619-16-002028-index.html")</f>
        <v>http://www.sec.gov/Archives/edgar/data/110027/0001567619-16-002028-index.html</v>
      </c>
    </row>
    <row r="3930" spans="1:6" x14ac:dyDescent="0.2">
      <c r="A3930" t="s">
        <v>3511</v>
      </c>
      <c r="B3930" s="1">
        <v>1118037</v>
      </c>
      <c r="C3930" s="1">
        <v>7389</v>
      </c>
      <c r="D3930" s="2">
        <v>42445</v>
      </c>
      <c r="E3930" s="1" t="s">
        <v>18</v>
      </c>
      <c r="F3930" t="str">
        <f>HYPERLINK("http://www.sec.gov/Archives/edgar/data/1118037/0001144204-16-088311-index.html")</f>
        <v>http://www.sec.gov/Archives/edgar/data/1118037/0001144204-16-088311-index.html</v>
      </c>
    </row>
    <row r="3931" spans="1:6" x14ac:dyDescent="0.2">
      <c r="A3931" t="s">
        <v>3512</v>
      </c>
      <c r="B3931" s="1">
        <v>1134115</v>
      </c>
      <c r="C3931" s="1">
        <v>1000</v>
      </c>
      <c r="D3931" s="2">
        <v>42445</v>
      </c>
      <c r="E3931" s="1" t="s">
        <v>18</v>
      </c>
      <c r="F3931" t="str">
        <f>HYPERLINK("http://www.sec.gov/Archives/edgar/data/1134115/0001279569-16-002939-index.html")</f>
        <v>http://www.sec.gov/Archives/edgar/data/1134115/0001279569-16-002939-index.html</v>
      </c>
    </row>
    <row r="3932" spans="1:6" x14ac:dyDescent="0.2">
      <c r="A3932" t="s">
        <v>3513</v>
      </c>
      <c r="B3932" s="1">
        <v>1166126</v>
      </c>
      <c r="C3932" s="1">
        <v>5311</v>
      </c>
      <c r="D3932" s="2">
        <v>42445</v>
      </c>
      <c r="E3932" s="1" t="s">
        <v>18</v>
      </c>
      <c r="F3932" t="str">
        <f>HYPERLINK("http://www.sec.gov/Archives/edgar/data/1166126/0001166126-16-000069-index.html")</f>
        <v>http://www.sec.gov/Archives/edgar/data/1166126/0001166126-16-000069-index.html</v>
      </c>
    </row>
    <row r="3933" spans="1:6" x14ac:dyDescent="0.2">
      <c r="A3933" t="s">
        <v>3514</v>
      </c>
      <c r="B3933" s="1">
        <v>1245104</v>
      </c>
      <c r="C3933" s="1">
        <v>2834</v>
      </c>
      <c r="D3933" s="2">
        <v>42445</v>
      </c>
      <c r="E3933" s="1" t="s">
        <v>18</v>
      </c>
      <c r="F3933" t="str">
        <f>HYPERLINK("http://www.sec.gov/Archives/edgar/data/1245104/0001564590-16-014874-index.html")</f>
        <v>http://www.sec.gov/Archives/edgar/data/1245104/0001564590-16-014874-index.html</v>
      </c>
    </row>
    <row r="3934" spans="1:6" x14ac:dyDescent="0.2">
      <c r="A3934" t="s">
        <v>3515</v>
      </c>
      <c r="B3934" s="1">
        <v>1310067</v>
      </c>
      <c r="C3934" s="1">
        <v>5311</v>
      </c>
      <c r="D3934" s="2">
        <v>42445</v>
      </c>
      <c r="E3934" s="1" t="s">
        <v>18</v>
      </c>
      <c r="F3934" t="str">
        <f>HYPERLINK("http://www.sec.gov/Archives/edgar/data/1310067/0001310067-16-000059-index.html")</f>
        <v>http://www.sec.gov/Archives/edgar/data/1310067/0001310067-16-000059-index.html</v>
      </c>
    </row>
    <row r="3935" spans="1:6" x14ac:dyDescent="0.2">
      <c r="A3935" t="s">
        <v>3516</v>
      </c>
      <c r="B3935" s="1">
        <v>1314223</v>
      </c>
      <c r="C3935" s="1">
        <v>7372</v>
      </c>
      <c r="D3935" s="2">
        <v>42445</v>
      </c>
      <c r="E3935" s="1" t="s">
        <v>18</v>
      </c>
      <c r="F3935" t="str">
        <f>HYPERLINK("http://www.sec.gov/Archives/edgar/data/1314223/0001314223-16-000021-index.html")</f>
        <v>http://www.sec.gov/Archives/edgar/data/1314223/0001314223-16-000021-index.html</v>
      </c>
    </row>
    <row r="3936" spans="1:6" x14ac:dyDescent="0.2">
      <c r="A3936" t="s">
        <v>3517</v>
      </c>
      <c r="B3936" s="1">
        <v>1335103</v>
      </c>
      <c r="C3936" s="1">
        <v>2834</v>
      </c>
      <c r="D3936" s="2">
        <v>42445</v>
      </c>
      <c r="E3936" s="1" t="s">
        <v>18</v>
      </c>
      <c r="F3936" t="str">
        <f>HYPERLINK("http://www.sec.gov/Archives/edgar/data/1335103/0001144204-16-088486-index.html")</f>
        <v>http://www.sec.gov/Archives/edgar/data/1335103/0001144204-16-088486-index.html</v>
      </c>
    </row>
    <row r="3937" spans="1:6" x14ac:dyDescent="0.2">
      <c r="A3937" t="s">
        <v>3518</v>
      </c>
      <c r="B3937" s="1">
        <v>1361248</v>
      </c>
      <c r="C3937" s="1">
        <v>2834</v>
      </c>
      <c r="D3937" s="2">
        <v>42445</v>
      </c>
      <c r="E3937" s="1" t="s">
        <v>18</v>
      </c>
      <c r="F3937" t="str">
        <f>HYPERLINK("http://www.sec.gov/Archives/edgar/data/1361248/0001558370-16-004186-index.html")</f>
        <v>http://www.sec.gov/Archives/edgar/data/1361248/0001558370-16-004186-index.html</v>
      </c>
    </row>
    <row r="3938" spans="1:6" x14ac:dyDescent="0.2">
      <c r="A3938" t="s">
        <v>3519</v>
      </c>
      <c r="B3938" s="1">
        <v>1370450</v>
      </c>
      <c r="C3938" s="1">
        <v>8711</v>
      </c>
      <c r="D3938" s="2">
        <v>42445</v>
      </c>
      <c r="E3938" s="1" t="s">
        <v>18</v>
      </c>
      <c r="F3938" t="str">
        <f>HYPERLINK("http://www.sec.gov/Archives/edgar/data/1370450/0001558370-16-004177-index.html")</f>
        <v>http://www.sec.gov/Archives/edgar/data/1370450/0001558370-16-004177-index.html</v>
      </c>
    </row>
    <row r="3939" spans="1:6" x14ac:dyDescent="0.2">
      <c r="A3939" t="s">
        <v>3520</v>
      </c>
      <c r="B3939" s="1">
        <v>1387061</v>
      </c>
      <c r="C3939" s="1">
        <v>6798</v>
      </c>
      <c r="D3939" s="2">
        <v>42445</v>
      </c>
      <c r="E3939" s="1" t="s">
        <v>18</v>
      </c>
      <c r="F3939" t="str">
        <f>HYPERLINK("http://www.sec.gov/Archives/edgar/data/1387061/0001628280-16-012714-index.html")</f>
        <v>http://www.sec.gov/Archives/edgar/data/1387061/0001628280-16-012714-index.html</v>
      </c>
    </row>
    <row r="3940" spans="1:6" x14ac:dyDescent="0.2">
      <c r="A3940" t="s">
        <v>3521</v>
      </c>
      <c r="B3940" s="1">
        <v>1403431</v>
      </c>
      <c r="C3940" s="1">
        <v>4950</v>
      </c>
      <c r="D3940" s="2">
        <v>42445</v>
      </c>
      <c r="E3940" s="1" t="s">
        <v>18</v>
      </c>
      <c r="F3940" t="str">
        <f>HYPERLINK("http://www.sec.gov/Archives/edgar/data/1403431/0001403431-16-000048-index.html")</f>
        <v>http://www.sec.gov/Archives/edgar/data/1403431/0001403431-16-000048-index.html</v>
      </c>
    </row>
    <row r="3941" spans="1:6" x14ac:dyDescent="0.2">
      <c r="A3941" t="s">
        <v>3522</v>
      </c>
      <c r="B3941" s="1">
        <v>1404296</v>
      </c>
      <c r="C3941" s="1">
        <v>6035</v>
      </c>
      <c r="D3941" s="2">
        <v>42445</v>
      </c>
      <c r="E3941" s="1" t="s">
        <v>18</v>
      </c>
      <c r="F3941" t="str">
        <f>HYPERLINK("http://www.sec.gov/Archives/edgar/data/1404296/0001144204-16-088490-index.html")</f>
        <v>http://www.sec.gov/Archives/edgar/data/1404296/0001144204-16-088490-index.html</v>
      </c>
    </row>
    <row r="3942" spans="1:6" x14ac:dyDescent="0.2">
      <c r="A3942" t="s">
        <v>3523</v>
      </c>
      <c r="B3942" s="1">
        <v>1430259</v>
      </c>
      <c r="C3942" s="1">
        <v>6500</v>
      </c>
      <c r="D3942" s="2">
        <v>42445</v>
      </c>
      <c r="E3942" s="1" t="s">
        <v>18</v>
      </c>
      <c r="F3942" t="str">
        <f>HYPERLINK("http://www.sec.gov/Archives/edgar/data/1430259/0001430259-16-000032-index.html")</f>
        <v>http://www.sec.gov/Archives/edgar/data/1430259/0001430259-16-000032-index.html</v>
      </c>
    </row>
    <row r="3943" spans="1:6" x14ac:dyDescent="0.2">
      <c r="A3943" t="s">
        <v>3524</v>
      </c>
      <c r="B3943" s="1">
        <v>1434647</v>
      </c>
      <c r="C3943" s="1">
        <v>2834</v>
      </c>
      <c r="D3943" s="2">
        <v>42445</v>
      </c>
      <c r="E3943" s="1" t="s">
        <v>18</v>
      </c>
      <c r="F3943" t="str">
        <f>HYPERLINK("http://www.sec.gov/Archives/edgar/data/1434647/0001564590-16-014881-index.html")</f>
        <v>http://www.sec.gov/Archives/edgar/data/1434647/0001564590-16-014881-index.html</v>
      </c>
    </row>
    <row r="3944" spans="1:6" x14ac:dyDescent="0.2">
      <c r="A3944" t="s">
        <v>3525</v>
      </c>
      <c r="B3944" s="1">
        <v>1442236</v>
      </c>
      <c r="C3944" s="1">
        <v>7359</v>
      </c>
      <c r="D3944" s="2">
        <v>42445</v>
      </c>
      <c r="E3944" s="1" t="s">
        <v>18</v>
      </c>
      <c r="F3944" t="str">
        <f>HYPERLINK("http://www.sec.gov/Archives/edgar/data/1442236/0001564590-16-014921-index.html")</f>
        <v>http://www.sec.gov/Archives/edgar/data/1442236/0001564590-16-014921-index.html</v>
      </c>
    </row>
    <row r="3945" spans="1:6" x14ac:dyDescent="0.2">
      <c r="A3945" t="s">
        <v>3526</v>
      </c>
      <c r="B3945" s="1">
        <v>1445918</v>
      </c>
      <c r="C3945" s="1">
        <v>5810</v>
      </c>
      <c r="D3945" s="2">
        <v>42445</v>
      </c>
      <c r="E3945" s="1" t="s">
        <v>18</v>
      </c>
      <c r="F3945" t="str">
        <f>HYPERLINK("http://www.sec.gov/Archives/edgar/data/1445918/0001079973-16-000855-index.html")</f>
        <v>http://www.sec.gov/Archives/edgar/data/1445918/0001079973-16-000855-index.html</v>
      </c>
    </row>
    <row r="3946" spans="1:6" x14ac:dyDescent="0.2">
      <c r="A3946" t="s">
        <v>3527</v>
      </c>
      <c r="B3946" s="1">
        <v>1446159</v>
      </c>
      <c r="C3946" s="1">
        <v>3842</v>
      </c>
      <c r="D3946" s="2">
        <v>42445</v>
      </c>
      <c r="E3946" s="1" t="s">
        <v>18</v>
      </c>
      <c r="F3946" t="str">
        <f>HYPERLINK("http://www.sec.gov/Archives/edgar/data/1446159/0001171843-16-008621-index.html")</f>
        <v>http://www.sec.gov/Archives/edgar/data/1446159/0001171843-16-008621-index.html</v>
      </c>
    </row>
    <row r="3947" spans="1:6" x14ac:dyDescent="0.2">
      <c r="A3947" t="s">
        <v>3528</v>
      </c>
      <c r="B3947" s="1">
        <v>1495932</v>
      </c>
      <c r="C3947" s="1">
        <v>7389</v>
      </c>
      <c r="D3947" s="2">
        <v>42445</v>
      </c>
      <c r="E3947" s="1" t="s">
        <v>42</v>
      </c>
      <c r="F3947" t="str">
        <f>HYPERLINK("http://www.sec.gov/Archives/edgar/data/1495932/0001019687-16-005494-index.html")</f>
        <v>http://www.sec.gov/Archives/edgar/data/1495932/0001019687-16-005494-index.html</v>
      </c>
    </row>
    <row r="3948" spans="1:6" x14ac:dyDescent="0.2">
      <c r="A3948" t="s">
        <v>2706</v>
      </c>
      <c r="B3948" s="1">
        <v>1496454</v>
      </c>
      <c r="C3948" s="1">
        <v>6798</v>
      </c>
      <c r="D3948" s="2">
        <v>42445</v>
      </c>
      <c r="E3948" s="1" t="s">
        <v>18</v>
      </c>
      <c r="F3948" t="str">
        <f>HYPERLINK("http://www.sec.gov/Archives/edgar/data/1496454/0001564590-16-014918-index.html")</f>
        <v>http://www.sec.gov/Archives/edgar/data/1496454/0001564590-16-014918-index.html</v>
      </c>
    </row>
    <row r="3949" spans="1:6" x14ac:dyDescent="0.2">
      <c r="A3949" t="s">
        <v>3529</v>
      </c>
      <c r="B3949" s="1">
        <v>1509228</v>
      </c>
      <c r="C3949" s="1">
        <v>1311</v>
      </c>
      <c r="D3949" s="2">
        <v>42445</v>
      </c>
      <c r="E3949" s="1" t="s">
        <v>18</v>
      </c>
      <c r="F3949" t="str">
        <f>HYPERLINK("http://www.sec.gov/Archives/edgar/data/1509228/0001104659-16-105508-index.html")</f>
        <v>http://www.sec.gov/Archives/edgar/data/1509228/0001104659-16-105508-index.html</v>
      </c>
    </row>
    <row r="3950" spans="1:6" x14ac:dyDescent="0.2">
      <c r="A3950" t="s">
        <v>3530</v>
      </c>
      <c r="B3950" s="1">
        <v>1521168</v>
      </c>
      <c r="C3950" s="1">
        <v>1311</v>
      </c>
      <c r="D3950" s="2">
        <v>42445</v>
      </c>
      <c r="E3950" s="1" t="s">
        <v>18</v>
      </c>
      <c r="F3950" t="str">
        <f>HYPERLINK("http://www.sec.gov/Archives/edgar/data/1521168/0001104659-16-105514-index.html")</f>
        <v>http://www.sec.gov/Archives/edgar/data/1521168/0001104659-16-105514-index.html</v>
      </c>
    </row>
    <row r="3951" spans="1:6" x14ac:dyDescent="0.2">
      <c r="A3951" t="s">
        <v>3531</v>
      </c>
      <c r="B3951" s="1">
        <v>1538217</v>
      </c>
      <c r="C3951" s="1">
        <v>7311</v>
      </c>
      <c r="D3951" s="2">
        <v>42445</v>
      </c>
      <c r="E3951" s="1" t="s">
        <v>18</v>
      </c>
      <c r="F3951" t="str">
        <f>HYPERLINK("http://www.sec.gov/Archives/edgar/data/1538217/0001553350-16-001712-index.html")</f>
        <v>http://www.sec.gov/Archives/edgar/data/1538217/0001553350-16-001712-index.html</v>
      </c>
    </row>
    <row r="3952" spans="1:6" x14ac:dyDescent="0.2">
      <c r="A3952" t="s">
        <v>3532</v>
      </c>
      <c r="B3952" s="1">
        <v>1538267</v>
      </c>
      <c r="C3952" s="1">
        <v>1311</v>
      </c>
      <c r="D3952" s="2">
        <v>42445</v>
      </c>
      <c r="E3952" s="1" t="s">
        <v>18</v>
      </c>
      <c r="F3952" t="str">
        <f>HYPERLINK("http://www.sec.gov/Archives/edgar/data/1538267/0001104659-16-105510-index.html")</f>
        <v>http://www.sec.gov/Archives/edgar/data/1538267/0001104659-16-105510-index.html</v>
      </c>
    </row>
    <row r="3953" spans="1:6" x14ac:dyDescent="0.2">
      <c r="A3953" t="s">
        <v>3533</v>
      </c>
      <c r="B3953" s="1">
        <v>1568162</v>
      </c>
      <c r="C3953" s="1">
        <v>6798</v>
      </c>
      <c r="D3953" s="2">
        <v>42445</v>
      </c>
      <c r="E3953" s="1" t="s">
        <v>18</v>
      </c>
      <c r="F3953" t="str">
        <f>HYPERLINK("http://www.sec.gov/Archives/edgar/data/1568162/0001568162-16-000021-index.html")</f>
        <v>http://www.sec.gov/Archives/edgar/data/1568162/0001568162-16-000021-index.html</v>
      </c>
    </row>
    <row r="3954" spans="1:6" x14ac:dyDescent="0.2">
      <c r="A3954" t="s">
        <v>3534</v>
      </c>
      <c r="B3954" s="1">
        <v>1568319</v>
      </c>
      <c r="C3954" s="1">
        <v>7389</v>
      </c>
      <c r="D3954" s="2">
        <v>42445</v>
      </c>
      <c r="E3954" s="1" t="s">
        <v>18</v>
      </c>
      <c r="F3954" t="str">
        <f>HYPERLINK("http://www.sec.gov/Archives/edgar/data/1568319/0001568319-16-000029-index.html")</f>
        <v>http://www.sec.gov/Archives/edgar/data/1568319/0001568319-16-000029-index.html</v>
      </c>
    </row>
    <row r="3955" spans="1:6" x14ac:dyDescent="0.2">
      <c r="A3955" t="s">
        <v>3535</v>
      </c>
      <c r="B3955" s="1">
        <v>1590717</v>
      </c>
      <c r="C3955" s="1">
        <v>6798</v>
      </c>
      <c r="D3955" s="2">
        <v>42445</v>
      </c>
      <c r="E3955" s="1" t="s">
        <v>42</v>
      </c>
      <c r="F3955" t="str">
        <f>HYPERLINK("http://www.sec.gov/Archives/edgar/data/1590717/0001193125-16-506716-index.html")</f>
        <v>http://www.sec.gov/Archives/edgar/data/1590717/0001193125-16-506716-index.html</v>
      </c>
    </row>
    <row r="3956" spans="1:6" x14ac:dyDescent="0.2">
      <c r="A3956" t="s">
        <v>3536</v>
      </c>
      <c r="B3956" s="1">
        <v>1595527</v>
      </c>
      <c r="C3956" s="1">
        <v>6798</v>
      </c>
      <c r="D3956" s="2">
        <v>42445</v>
      </c>
      <c r="E3956" s="1" t="s">
        <v>18</v>
      </c>
      <c r="F3956" t="str">
        <f>HYPERLINK("http://www.sec.gov/Archives/edgar/data/1595527/0001595527-16-000026-index.html")</f>
        <v>http://www.sec.gov/Archives/edgar/data/1595527/0001595527-16-000026-index.html</v>
      </c>
    </row>
    <row r="3957" spans="1:6" x14ac:dyDescent="0.2">
      <c r="A3957" t="s">
        <v>3537</v>
      </c>
      <c r="B3957" s="1">
        <v>1618694</v>
      </c>
      <c r="C3957" s="1">
        <v>5812</v>
      </c>
      <c r="D3957" s="2">
        <v>42445</v>
      </c>
      <c r="E3957" s="1" t="s">
        <v>18</v>
      </c>
      <c r="F3957" t="str">
        <f>HYPERLINK("http://www.sec.gov/Archives/edgar/data/1618694/0001618694-16-000029-index.html")</f>
        <v>http://www.sec.gov/Archives/edgar/data/1618694/0001618694-16-000029-index.html</v>
      </c>
    </row>
    <row r="3958" spans="1:6" x14ac:dyDescent="0.2">
      <c r="A3958" t="s">
        <v>3538</v>
      </c>
      <c r="B3958" s="1">
        <v>1618697</v>
      </c>
      <c r="C3958" s="1">
        <v>5812</v>
      </c>
      <c r="D3958" s="2">
        <v>42445</v>
      </c>
      <c r="E3958" s="1" t="s">
        <v>18</v>
      </c>
      <c r="F3958" t="str">
        <f>HYPERLINK("http://www.sec.gov/Archives/edgar/data/1618697/0001618697-16-000057-index.html")</f>
        <v>http://www.sec.gov/Archives/edgar/data/1618697/0001618697-16-000057-index.html</v>
      </c>
    </row>
    <row r="3959" spans="1:6" x14ac:dyDescent="0.2">
      <c r="A3959" t="s">
        <v>3539</v>
      </c>
      <c r="B3959" s="1">
        <v>1637761</v>
      </c>
      <c r="C3959" s="1">
        <v>3841</v>
      </c>
      <c r="D3959" s="2">
        <v>42445</v>
      </c>
      <c r="E3959" s="1" t="s">
        <v>18</v>
      </c>
      <c r="F3959" t="str">
        <f>HYPERLINK("http://www.sec.gov/Archives/edgar/data/1637761/0001637761-16-000053-index.html")</f>
        <v>http://www.sec.gov/Archives/edgar/data/1637761/0001637761-16-000053-index.html</v>
      </c>
    </row>
    <row r="3960" spans="1:6" x14ac:dyDescent="0.2">
      <c r="A3960" t="s">
        <v>3540</v>
      </c>
      <c r="B3960" s="1">
        <v>18172</v>
      </c>
      <c r="C3960" s="1">
        <v>5051</v>
      </c>
      <c r="D3960" s="2">
        <v>42445</v>
      </c>
      <c r="E3960" s="1" t="s">
        <v>42</v>
      </c>
      <c r="F3960" t="str">
        <f>HYPERLINK("http://www.sec.gov/Archives/edgar/data/18172/0000018172-16-000070-index.html")</f>
        <v>http://www.sec.gov/Archives/edgar/data/18172/0000018172-16-000070-index.html</v>
      </c>
    </row>
    <row r="3961" spans="1:6" x14ac:dyDescent="0.2">
      <c r="A3961" t="s">
        <v>3541</v>
      </c>
      <c r="B3961" s="1">
        <v>320340</v>
      </c>
      <c r="C3961" s="1">
        <v>3452</v>
      </c>
      <c r="D3961" s="2">
        <v>42445</v>
      </c>
      <c r="E3961" s="1" t="s">
        <v>18</v>
      </c>
      <c r="F3961" t="str">
        <f>HYPERLINK("http://www.sec.gov/Archives/edgar/data/320340/0001437749-16-027785-index.html")</f>
        <v>http://www.sec.gov/Archives/edgar/data/320340/0001437749-16-027785-index.html</v>
      </c>
    </row>
    <row r="3962" spans="1:6" x14ac:dyDescent="0.2">
      <c r="A3962" t="s">
        <v>3542</v>
      </c>
      <c r="B3962" s="1">
        <v>42316</v>
      </c>
      <c r="C3962" s="1">
        <v>1623</v>
      </c>
      <c r="D3962" s="2">
        <v>42445</v>
      </c>
      <c r="E3962" s="1" t="s">
        <v>18</v>
      </c>
      <c r="F3962" t="str">
        <f>HYPERLINK("http://www.sec.gov/Archives/edgar/data/42316/0000042316-16-000065-index.html")</f>
        <v>http://www.sec.gov/Archives/edgar/data/42316/0000042316-16-000065-index.html</v>
      </c>
    </row>
    <row r="3963" spans="1:6" x14ac:dyDescent="0.2">
      <c r="A3963" t="s">
        <v>3543</v>
      </c>
      <c r="B3963" s="1">
        <v>731653</v>
      </c>
      <c r="C3963" s="1">
        <v>6022</v>
      </c>
      <c r="D3963" s="2">
        <v>42445</v>
      </c>
      <c r="E3963" s="1" t="s">
        <v>18</v>
      </c>
      <c r="F3963" t="str">
        <f>HYPERLINK("http://www.sec.gov/Archives/edgar/data/731653/0001144204-16-088413-index.html")</f>
        <v>http://www.sec.gov/Archives/edgar/data/731653/0001144204-16-088413-index.html</v>
      </c>
    </row>
    <row r="3964" spans="1:6" x14ac:dyDescent="0.2">
      <c r="A3964" t="s">
        <v>3544</v>
      </c>
      <c r="B3964" s="1">
        <v>733337</v>
      </c>
      <c r="C3964" s="1">
        <v>6153</v>
      </c>
      <c r="D3964" s="2">
        <v>42445</v>
      </c>
      <c r="E3964" s="1" t="s">
        <v>18</v>
      </c>
      <c r="F3964" t="str">
        <f>HYPERLINK("http://www.sec.gov/Archives/edgar/data/733337/0001393905-16-000778-index.html")</f>
        <v>http://www.sec.gov/Archives/edgar/data/733337/0001393905-16-000778-index.html</v>
      </c>
    </row>
    <row r="3965" spans="1:6" x14ac:dyDescent="0.2">
      <c r="A3965" t="s">
        <v>3545</v>
      </c>
      <c r="B3965" s="1">
        <v>788611</v>
      </c>
      <c r="C3965" s="1">
        <v>3990</v>
      </c>
      <c r="D3965" s="2">
        <v>42445</v>
      </c>
      <c r="E3965" s="1" t="s">
        <v>18</v>
      </c>
      <c r="F3965" t="str">
        <f>HYPERLINK("http://www.sec.gov/Archives/edgar/data/788611/0001144204-16-088535-index.html")</f>
        <v>http://www.sec.gov/Archives/edgar/data/788611/0001144204-16-088535-index.html</v>
      </c>
    </row>
    <row r="3966" spans="1:6" x14ac:dyDescent="0.2">
      <c r="A3966" t="s">
        <v>3546</v>
      </c>
      <c r="B3966" s="1">
        <v>814586</v>
      </c>
      <c r="C3966" s="1">
        <v>2020</v>
      </c>
      <c r="D3966" s="2">
        <v>42445</v>
      </c>
      <c r="E3966" s="1" t="s">
        <v>18</v>
      </c>
      <c r="F3966" t="str">
        <f>HYPERLINK("http://www.sec.gov/Archives/edgar/data/814586/0001072613-16-000724-index.html")</f>
        <v>http://www.sec.gov/Archives/edgar/data/814586/0001072613-16-000724-index.html</v>
      </c>
    </row>
    <row r="3967" spans="1:6" x14ac:dyDescent="0.2">
      <c r="A3967" t="s">
        <v>3547</v>
      </c>
      <c r="B3967" s="1">
        <v>832489</v>
      </c>
      <c r="C3967" s="1">
        <v>8731</v>
      </c>
      <c r="D3967" s="2">
        <v>42445</v>
      </c>
      <c r="E3967" s="1" t="s">
        <v>18</v>
      </c>
      <c r="F3967" t="str">
        <f>HYPERLINK("http://www.sec.gov/Archives/edgar/data/832489/0001437749-16-027776-index.html")</f>
        <v>http://www.sec.gov/Archives/edgar/data/832489/0001437749-16-027776-index.html</v>
      </c>
    </row>
    <row r="3968" spans="1:6" x14ac:dyDescent="0.2">
      <c r="A3968" t="s">
        <v>3548</v>
      </c>
      <c r="B3968" s="1">
        <v>886346</v>
      </c>
      <c r="C3968" s="1">
        <v>3550</v>
      </c>
      <c r="D3968" s="2">
        <v>42445</v>
      </c>
      <c r="E3968" s="1" t="s">
        <v>18</v>
      </c>
      <c r="F3968" t="str">
        <f>HYPERLINK("http://www.sec.gov/Archives/edgar/data/886346/0000886346-16-000221-index.html")</f>
        <v>http://www.sec.gov/Archives/edgar/data/886346/0000886346-16-000221-index.html</v>
      </c>
    </row>
    <row r="3969" spans="1:6" x14ac:dyDescent="0.2">
      <c r="A3969" t="s">
        <v>3549</v>
      </c>
      <c r="B3969" s="1">
        <v>894627</v>
      </c>
      <c r="C3969" s="1">
        <v>1311</v>
      </c>
      <c r="D3969" s="2">
        <v>42445</v>
      </c>
      <c r="E3969" s="1" t="s">
        <v>18</v>
      </c>
      <c r="F3969" t="str">
        <f>HYPERLINK("http://www.sec.gov/Archives/edgar/data/894627/0000894627-16-000078-index.html")</f>
        <v>http://www.sec.gov/Archives/edgar/data/894627/0000894627-16-000078-index.html</v>
      </c>
    </row>
    <row r="3970" spans="1:6" x14ac:dyDescent="0.2">
      <c r="A3970" t="s">
        <v>3550</v>
      </c>
      <c r="B3970" s="1">
        <v>932781</v>
      </c>
      <c r="C3970" s="1">
        <v>6021</v>
      </c>
      <c r="D3970" s="2">
        <v>42445</v>
      </c>
      <c r="E3970" s="1" t="s">
        <v>18</v>
      </c>
      <c r="F3970" t="str">
        <f>HYPERLINK("http://www.sec.gov/Archives/edgar/data/932781/0001552781-16-001410-index.html")</f>
        <v>http://www.sec.gov/Archives/edgar/data/932781/0001552781-16-001410-index.html</v>
      </c>
    </row>
    <row r="3971" spans="1:6" x14ac:dyDescent="0.2">
      <c r="A3971" t="s">
        <v>3551</v>
      </c>
      <c r="B3971" s="1">
        <v>1001316</v>
      </c>
      <c r="C3971" s="1">
        <v>2834</v>
      </c>
      <c r="D3971" s="2">
        <v>42444</v>
      </c>
      <c r="E3971" s="1" t="s">
        <v>18</v>
      </c>
      <c r="F3971" t="str">
        <f>HYPERLINK("http://www.sec.gov/Archives/edgar/data/1001316/0001144204-16-088155-index.html")</f>
        <v>http://www.sec.gov/Archives/edgar/data/1001316/0001144204-16-088155-index.html</v>
      </c>
    </row>
    <row r="3972" spans="1:6" x14ac:dyDescent="0.2">
      <c r="A3972" t="s">
        <v>3552</v>
      </c>
      <c r="B3972" s="1">
        <v>1001606</v>
      </c>
      <c r="C3972" s="1">
        <v>3420</v>
      </c>
      <c r="D3972" s="2">
        <v>42444</v>
      </c>
      <c r="E3972" s="1" t="s">
        <v>18</v>
      </c>
      <c r="F3972" t="str">
        <f>HYPERLINK("http://www.sec.gov/Archives/edgar/data/1001606/0001001606-16-000080-index.html")</f>
        <v>http://www.sec.gov/Archives/edgar/data/1001606/0001001606-16-000080-index.html</v>
      </c>
    </row>
    <row r="3973" spans="1:6" x14ac:dyDescent="0.2">
      <c r="A3973" t="s">
        <v>3553</v>
      </c>
      <c r="B3973" s="1">
        <v>1003201</v>
      </c>
      <c r="C3973" s="1">
        <v>6500</v>
      </c>
      <c r="D3973" s="2">
        <v>42444</v>
      </c>
      <c r="E3973" s="1" t="s">
        <v>18</v>
      </c>
      <c r="F3973" t="str">
        <f>HYPERLINK("http://www.sec.gov/Archives/edgar/data/1003201/0001144204-16-088237-index.html")</f>
        <v>http://www.sec.gov/Archives/edgar/data/1003201/0001144204-16-088237-index.html</v>
      </c>
    </row>
    <row r="3974" spans="1:6" x14ac:dyDescent="0.2">
      <c r="A3974" t="s">
        <v>3554</v>
      </c>
      <c r="B3974" s="1">
        <v>1004702</v>
      </c>
      <c r="C3974" s="1">
        <v>6035</v>
      </c>
      <c r="D3974" s="2">
        <v>42444</v>
      </c>
      <c r="E3974" s="1" t="s">
        <v>18</v>
      </c>
      <c r="F3974" t="str">
        <f>HYPERLINK("http://www.sec.gov/Archives/edgar/data/1004702/0001193125-16-504899-index.html")</f>
        <v>http://www.sec.gov/Archives/edgar/data/1004702/0001193125-16-504899-index.html</v>
      </c>
    </row>
    <row r="3975" spans="1:6" x14ac:dyDescent="0.2">
      <c r="A3975" t="s">
        <v>3555</v>
      </c>
      <c r="B3975" s="1">
        <v>1005699</v>
      </c>
      <c r="C3975" s="1">
        <v>4813</v>
      </c>
      <c r="D3975" s="2">
        <v>42444</v>
      </c>
      <c r="E3975" s="1" t="s">
        <v>18</v>
      </c>
      <c r="F3975" t="str">
        <f>HYPERLINK("http://www.sec.gov/Archives/edgar/data/1005699/0001178913-16-004718-index.html")</f>
        <v>http://www.sec.gov/Archives/edgar/data/1005699/0001178913-16-004718-index.html</v>
      </c>
    </row>
    <row r="3976" spans="1:6" x14ac:dyDescent="0.2">
      <c r="A3976" t="s">
        <v>3556</v>
      </c>
      <c r="B3976" s="1">
        <v>1005817</v>
      </c>
      <c r="C3976" s="1">
        <v>6022</v>
      </c>
      <c r="D3976" s="2">
        <v>42444</v>
      </c>
      <c r="E3976" s="1" t="s">
        <v>18</v>
      </c>
      <c r="F3976" t="str">
        <f>HYPERLINK("http://www.sec.gov/Archives/edgar/data/1005817/0001387131-16-004584-index.html")</f>
        <v>http://www.sec.gov/Archives/edgar/data/1005817/0001387131-16-004584-index.html</v>
      </c>
    </row>
    <row r="3977" spans="1:6" x14ac:dyDescent="0.2">
      <c r="A3977" t="s">
        <v>3557</v>
      </c>
      <c r="B3977" s="1">
        <v>1006837</v>
      </c>
      <c r="C3977" s="1">
        <v>4813</v>
      </c>
      <c r="D3977" s="2">
        <v>42444</v>
      </c>
      <c r="E3977" s="1" t="s">
        <v>42</v>
      </c>
      <c r="F3977" t="str">
        <f>HYPERLINK("http://www.sec.gov/Archives/edgar/data/1006837/0001006837-16-000029-index.html")</f>
        <v>http://www.sec.gov/Archives/edgar/data/1006837/0001006837-16-000029-index.html</v>
      </c>
    </row>
    <row r="3978" spans="1:6" x14ac:dyDescent="0.2">
      <c r="A3978" t="s">
        <v>3557</v>
      </c>
      <c r="B3978" s="1">
        <v>1006837</v>
      </c>
      <c r="C3978" s="1">
        <v>4813</v>
      </c>
      <c r="D3978" s="2">
        <v>42444</v>
      </c>
      <c r="E3978" s="1" t="s">
        <v>18</v>
      </c>
      <c r="F3978" t="str">
        <f>HYPERLINK("http://www.sec.gov/Archives/edgar/data/1006837/0001006837-16-000033-index.html")</f>
        <v>http://www.sec.gov/Archives/edgar/data/1006837/0001006837-16-000033-index.html</v>
      </c>
    </row>
    <row r="3979" spans="1:6" x14ac:dyDescent="0.2">
      <c r="A3979" t="s">
        <v>3558</v>
      </c>
      <c r="B3979" s="1">
        <v>1007330</v>
      </c>
      <c r="C3979" s="1">
        <v>8700</v>
      </c>
      <c r="D3979" s="2">
        <v>42444</v>
      </c>
      <c r="E3979" s="1" t="s">
        <v>18</v>
      </c>
      <c r="F3979" t="str">
        <f>HYPERLINK("http://www.sec.gov/Archives/edgar/data/1007330/0001007330-16-000014-index.html")</f>
        <v>http://www.sec.gov/Archives/edgar/data/1007330/0001007330-16-000014-index.html</v>
      </c>
    </row>
    <row r="3980" spans="1:6" x14ac:dyDescent="0.2">
      <c r="A3980" t="s">
        <v>3559</v>
      </c>
      <c r="B3980" s="1">
        <v>1009829</v>
      </c>
      <c r="C3980" s="1">
        <v>3944</v>
      </c>
      <c r="D3980" s="2">
        <v>42444</v>
      </c>
      <c r="E3980" s="1" t="s">
        <v>18</v>
      </c>
      <c r="F3980" t="str">
        <f>HYPERLINK("http://www.sec.gov/Archives/edgar/data/1009829/0001157523-16-004933-index.html")</f>
        <v>http://www.sec.gov/Archives/edgar/data/1009829/0001157523-16-004933-index.html</v>
      </c>
    </row>
    <row r="3981" spans="1:6" x14ac:dyDescent="0.2">
      <c r="A3981" t="s">
        <v>3560</v>
      </c>
      <c r="B3981" s="1">
        <v>1010858</v>
      </c>
      <c r="C3981" s="1">
        <v>1400</v>
      </c>
      <c r="D3981" s="2">
        <v>42444</v>
      </c>
      <c r="E3981" s="1" t="s">
        <v>18</v>
      </c>
      <c r="F3981" t="str">
        <f>HYPERLINK("http://www.sec.gov/Archives/edgar/data/1010858/0001193125-16-504836-index.html")</f>
        <v>http://www.sec.gov/Archives/edgar/data/1010858/0001193125-16-504836-index.html</v>
      </c>
    </row>
    <row r="3982" spans="1:6" x14ac:dyDescent="0.2">
      <c r="A3982" t="s">
        <v>3561</v>
      </c>
      <c r="B3982" s="1">
        <v>1011109</v>
      </c>
      <c r="C3982" s="1">
        <v>6798</v>
      </c>
      <c r="D3982" s="2">
        <v>42444</v>
      </c>
      <c r="E3982" s="1" t="s">
        <v>18</v>
      </c>
      <c r="F3982" t="str">
        <f>HYPERLINK("http://www.sec.gov/Archives/edgar/data/1011109/0001552781-16-001406-index.html")</f>
        <v>http://www.sec.gov/Archives/edgar/data/1011109/0001552781-16-001406-index.html</v>
      </c>
    </row>
    <row r="3983" spans="1:6" x14ac:dyDescent="0.2">
      <c r="A3983" t="s">
        <v>3562</v>
      </c>
      <c r="B3983" s="1">
        <v>1012477</v>
      </c>
      <c r="C3983" s="1">
        <v>2834</v>
      </c>
      <c r="D3983" s="2">
        <v>42444</v>
      </c>
      <c r="E3983" s="1" t="s">
        <v>18</v>
      </c>
      <c r="F3983" t="str">
        <f>HYPERLINK("http://www.sec.gov/Archives/edgar/data/1012477/0001144204-16-088149-index.html")</f>
        <v>http://www.sec.gov/Archives/edgar/data/1012477/0001144204-16-088149-index.html</v>
      </c>
    </row>
    <row r="3984" spans="1:6" x14ac:dyDescent="0.2">
      <c r="A3984" t="s">
        <v>3563</v>
      </c>
      <c r="B3984" s="1">
        <v>1013272</v>
      </c>
      <c r="C3984" s="1">
        <v>6022</v>
      </c>
      <c r="D3984" s="2">
        <v>42444</v>
      </c>
      <c r="E3984" s="1" t="s">
        <v>18</v>
      </c>
      <c r="F3984" t="str">
        <f>HYPERLINK("http://www.sec.gov/Archives/edgar/data/1013272/0000946275-16-000239-index.html")</f>
        <v>http://www.sec.gov/Archives/edgar/data/1013272/0000946275-16-000239-index.html</v>
      </c>
    </row>
    <row r="3985" spans="1:6" x14ac:dyDescent="0.2">
      <c r="A3985" t="s">
        <v>3564</v>
      </c>
      <c r="B3985" s="1">
        <v>1014111</v>
      </c>
      <c r="C3985" s="1">
        <v>3695</v>
      </c>
      <c r="D3985" s="2">
        <v>42444</v>
      </c>
      <c r="E3985" s="1" t="s">
        <v>18</v>
      </c>
      <c r="F3985" t="str">
        <f>HYPERLINK("http://www.sec.gov/Archives/edgar/data/1014111/0001014111-16-000044-index.html")</f>
        <v>http://www.sec.gov/Archives/edgar/data/1014111/0001014111-16-000044-index.html</v>
      </c>
    </row>
    <row r="3986" spans="1:6" x14ac:dyDescent="0.2">
      <c r="A3986" t="s">
        <v>3565</v>
      </c>
      <c r="B3986" s="1">
        <v>1017907</v>
      </c>
      <c r="C3986" s="1">
        <v>6331</v>
      </c>
      <c r="D3986" s="2">
        <v>42444</v>
      </c>
      <c r="E3986" s="1" t="s">
        <v>18</v>
      </c>
      <c r="F3986" t="str">
        <f>HYPERLINK("http://www.sec.gov/Archives/edgar/data/1017907/0001564590-16-014836-index.html")</f>
        <v>http://www.sec.gov/Archives/edgar/data/1017907/0001564590-16-014836-index.html</v>
      </c>
    </row>
    <row r="3987" spans="1:6" x14ac:dyDescent="0.2">
      <c r="A3987" t="s">
        <v>3566</v>
      </c>
      <c r="B3987" s="1">
        <v>1018399</v>
      </c>
      <c r="C3987" s="1">
        <v>6022</v>
      </c>
      <c r="D3987" s="2">
        <v>42444</v>
      </c>
      <c r="E3987" s="1" t="s">
        <v>18</v>
      </c>
      <c r="F3987" t="str">
        <f>HYPERLINK("http://www.sec.gov/Archives/edgar/data/1018399/0001018399-16-000076-index.html")</f>
        <v>http://www.sec.gov/Archives/edgar/data/1018399/0001018399-16-000076-index.html</v>
      </c>
    </row>
    <row r="3988" spans="1:6" x14ac:dyDescent="0.2">
      <c r="A3988" t="s">
        <v>3567</v>
      </c>
      <c r="B3988" s="1">
        <v>1019650</v>
      </c>
      <c r="C3988" s="1">
        <v>6021</v>
      </c>
      <c r="D3988" s="2">
        <v>42444</v>
      </c>
      <c r="E3988" s="1" t="s">
        <v>18</v>
      </c>
      <c r="F3988" t="str">
        <f>HYPERLINK("http://www.sec.gov/Archives/edgar/data/1019650/0001019650-16-000079-index.html")</f>
        <v>http://www.sec.gov/Archives/edgar/data/1019650/0001019650-16-000079-index.html</v>
      </c>
    </row>
    <row r="3989" spans="1:6" x14ac:dyDescent="0.2">
      <c r="A3989" t="s">
        <v>3568</v>
      </c>
      <c r="B3989" s="1">
        <v>1022652</v>
      </c>
      <c r="C3989" s="1">
        <v>3669</v>
      </c>
      <c r="D3989" s="2">
        <v>42444</v>
      </c>
      <c r="E3989" s="1" t="s">
        <v>18</v>
      </c>
      <c r="F3989" t="str">
        <f>HYPERLINK("http://www.sec.gov/Archives/edgar/data/1022652/0001022652-16-000089-index.html")</f>
        <v>http://www.sec.gov/Archives/edgar/data/1022652/0001022652-16-000089-index.html</v>
      </c>
    </row>
    <row r="3990" spans="1:6" x14ac:dyDescent="0.2">
      <c r="A3990" t="s">
        <v>3569</v>
      </c>
      <c r="B3990" s="1">
        <v>1029730</v>
      </c>
      <c r="C3990" s="1">
        <v>6211</v>
      </c>
      <c r="D3990" s="2">
        <v>42444</v>
      </c>
      <c r="E3990" s="1" t="s">
        <v>18</v>
      </c>
      <c r="F3990" t="str">
        <f>HYPERLINK("http://www.sec.gov/Archives/edgar/data/1029730/0001029730-16-000020-index.html")</f>
        <v>http://www.sec.gov/Archives/edgar/data/1029730/0001029730-16-000020-index.html</v>
      </c>
    </row>
    <row r="3991" spans="1:6" x14ac:dyDescent="0.2">
      <c r="A3991" t="s">
        <v>3570</v>
      </c>
      <c r="B3991" s="1">
        <v>1030469</v>
      </c>
      <c r="C3991" s="1">
        <v>6022</v>
      </c>
      <c r="D3991" s="2">
        <v>42444</v>
      </c>
      <c r="E3991" s="1" t="s">
        <v>18</v>
      </c>
      <c r="F3991" t="str">
        <f>HYPERLINK("http://www.sec.gov/Archives/edgar/data/1030469/0001030469-16-000067-index.html")</f>
        <v>http://www.sec.gov/Archives/edgar/data/1030469/0001030469-16-000067-index.html</v>
      </c>
    </row>
    <row r="3992" spans="1:6" x14ac:dyDescent="0.2">
      <c r="A3992" t="s">
        <v>3571</v>
      </c>
      <c r="B3992" s="1">
        <v>1034760</v>
      </c>
      <c r="C3992" s="1">
        <v>7373</v>
      </c>
      <c r="D3992" s="2">
        <v>42444</v>
      </c>
      <c r="E3992" s="1" t="s">
        <v>18</v>
      </c>
      <c r="F3992" t="str">
        <f>HYPERLINK("http://www.sec.gov/Archives/edgar/data/1034760/0001144204-16-088207-index.html")</f>
        <v>http://www.sec.gov/Archives/edgar/data/1034760/0001144204-16-088207-index.html</v>
      </c>
    </row>
    <row r="3993" spans="1:6" x14ac:dyDescent="0.2">
      <c r="A3993" t="s">
        <v>3572</v>
      </c>
      <c r="B3993" s="1">
        <v>1037676</v>
      </c>
      <c r="C3993" s="1">
        <v>1221</v>
      </c>
      <c r="D3993" s="2">
        <v>42444</v>
      </c>
      <c r="E3993" s="1" t="s">
        <v>18</v>
      </c>
      <c r="F3993" t="str">
        <f>HYPERLINK("http://www.sec.gov/Archives/edgar/data/1037676/0001104659-16-105176-index.html")</f>
        <v>http://www.sec.gov/Archives/edgar/data/1037676/0001104659-16-105176-index.html</v>
      </c>
    </row>
    <row r="3994" spans="1:6" x14ac:dyDescent="0.2">
      <c r="A3994" t="s">
        <v>3573</v>
      </c>
      <c r="B3994" s="1">
        <v>1038133</v>
      </c>
      <c r="C3994" s="1">
        <v>2836</v>
      </c>
      <c r="D3994" s="2">
        <v>42444</v>
      </c>
      <c r="E3994" s="1" t="s">
        <v>18</v>
      </c>
      <c r="F3994" t="str">
        <f>HYPERLINK("http://www.sec.gov/Archives/edgar/data/1038133/0001038133-16-000212-index.html")</f>
        <v>http://www.sec.gov/Archives/edgar/data/1038133/0001038133-16-000212-index.html</v>
      </c>
    </row>
    <row r="3995" spans="1:6" x14ac:dyDescent="0.2">
      <c r="A3995" t="s">
        <v>3574</v>
      </c>
      <c r="B3995" s="1">
        <v>1047170</v>
      </c>
      <c r="C3995" s="1">
        <v>6022</v>
      </c>
      <c r="D3995" s="2">
        <v>42444</v>
      </c>
      <c r="E3995" s="1" t="s">
        <v>18</v>
      </c>
      <c r="F3995" t="str">
        <f>HYPERLINK("http://www.sec.gov/Archives/edgar/data/1047170/0001144204-16-088001-index.html")</f>
        <v>http://www.sec.gov/Archives/edgar/data/1047170/0001144204-16-088001-index.html</v>
      </c>
    </row>
    <row r="3996" spans="1:6" x14ac:dyDescent="0.2">
      <c r="A3996" t="s">
        <v>3575</v>
      </c>
      <c r="B3996" s="1">
        <v>1050743</v>
      </c>
      <c r="C3996" s="1">
        <v>6029</v>
      </c>
      <c r="D3996" s="2">
        <v>42444</v>
      </c>
      <c r="E3996" s="1" t="s">
        <v>18</v>
      </c>
      <c r="F3996" t="str">
        <f>HYPERLINK("http://www.sec.gov/Archives/edgar/data/1050743/0001174947-16-002248-index.html")</f>
        <v>http://www.sec.gov/Archives/edgar/data/1050743/0001174947-16-002248-index.html</v>
      </c>
    </row>
    <row r="3997" spans="1:6" x14ac:dyDescent="0.2">
      <c r="A3997" t="s">
        <v>3576</v>
      </c>
      <c r="B3997" s="1">
        <v>1051514</v>
      </c>
      <c r="C3997" s="1">
        <v>3841</v>
      </c>
      <c r="D3997" s="2">
        <v>42444</v>
      </c>
      <c r="E3997" s="1" t="s">
        <v>18</v>
      </c>
      <c r="F3997" t="str">
        <f>HYPERLINK("http://www.sec.gov/Archives/edgar/data/1051514/0001051514-16-000048-index.html")</f>
        <v>http://www.sec.gov/Archives/edgar/data/1051514/0001051514-16-000048-index.html</v>
      </c>
    </row>
    <row r="3998" spans="1:6" x14ac:dyDescent="0.2">
      <c r="A3998" t="s">
        <v>3577</v>
      </c>
      <c r="B3998" s="1">
        <v>1052054</v>
      </c>
      <c r="C3998" s="1">
        <v>7371</v>
      </c>
      <c r="D3998" s="2">
        <v>42444</v>
      </c>
      <c r="E3998" s="1" t="s">
        <v>18</v>
      </c>
      <c r="F3998" t="str">
        <f>HYPERLINK("http://www.sec.gov/Archives/edgar/data/1052054/0001104659-16-105253-index.html")</f>
        <v>http://www.sec.gov/Archives/edgar/data/1052054/0001104659-16-105253-index.html</v>
      </c>
    </row>
    <row r="3999" spans="1:6" x14ac:dyDescent="0.2">
      <c r="A3999" t="s">
        <v>3578</v>
      </c>
      <c r="B3999" s="1">
        <v>1056358</v>
      </c>
      <c r="C3999" s="1">
        <v>2833</v>
      </c>
      <c r="D3999" s="2">
        <v>42444</v>
      </c>
      <c r="E3999" s="1" t="s">
        <v>18</v>
      </c>
      <c r="F3999" t="str">
        <f>HYPERLINK("http://www.sec.gov/Archives/edgar/data/1056358/0001140361-16-057737-index.html")</f>
        <v>http://www.sec.gov/Archives/edgar/data/1056358/0001140361-16-057737-index.html</v>
      </c>
    </row>
    <row r="4000" spans="1:6" x14ac:dyDescent="0.2">
      <c r="A4000" t="s">
        <v>3579</v>
      </c>
      <c r="B4000" s="1">
        <v>1057083</v>
      </c>
      <c r="C4000" s="1">
        <v>3663</v>
      </c>
      <c r="D4000" s="2">
        <v>42444</v>
      </c>
      <c r="E4000" s="1" t="s">
        <v>18</v>
      </c>
      <c r="F4000" t="str">
        <f>HYPERLINK("http://www.sec.gov/Archives/edgar/data/1057083/0001193125-16-505058-index.html")</f>
        <v>http://www.sec.gov/Archives/edgar/data/1057083/0001193125-16-505058-index.html</v>
      </c>
    </row>
    <row r="4001" spans="1:6" x14ac:dyDescent="0.2">
      <c r="A4001" t="s">
        <v>3580</v>
      </c>
      <c r="B4001" s="1">
        <v>1060349</v>
      </c>
      <c r="C4001" s="1">
        <v>6211</v>
      </c>
      <c r="D4001" s="2">
        <v>42444</v>
      </c>
      <c r="E4001" s="1" t="s">
        <v>18</v>
      </c>
      <c r="F4001" t="str">
        <f>HYPERLINK("http://www.sec.gov/Archives/edgar/data/1060349/0001060349-16-000039-index.html")</f>
        <v>http://www.sec.gov/Archives/edgar/data/1060349/0001060349-16-000039-index.html</v>
      </c>
    </row>
    <row r="4002" spans="1:6" x14ac:dyDescent="0.2">
      <c r="A4002" t="s">
        <v>3581</v>
      </c>
      <c r="B4002" s="1">
        <v>1060523</v>
      </c>
      <c r="C4002" s="1">
        <v>6021</v>
      </c>
      <c r="D4002" s="2">
        <v>42444</v>
      </c>
      <c r="E4002" s="1" t="s">
        <v>18</v>
      </c>
      <c r="F4002" t="str">
        <f>HYPERLINK("http://www.sec.gov/Archives/edgar/data/1060523/0001047469-16-011191-index.html")</f>
        <v>http://www.sec.gov/Archives/edgar/data/1060523/0001047469-16-011191-index.html</v>
      </c>
    </row>
    <row r="4003" spans="1:6" x14ac:dyDescent="0.2">
      <c r="A4003" t="s">
        <v>3582</v>
      </c>
      <c r="B4003" s="1">
        <v>1069308</v>
      </c>
      <c r="C4003" s="1">
        <v>2834</v>
      </c>
      <c r="D4003" s="2">
        <v>42444</v>
      </c>
      <c r="E4003" s="1" t="s">
        <v>18</v>
      </c>
      <c r="F4003" t="str">
        <f>HYPERLINK("http://www.sec.gov/Archives/edgar/data/1069308/0001354488-16-006584-index.html")</f>
        <v>http://www.sec.gov/Archives/edgar/data/1069308/0001354488-16-006584-index.html</v>
      </c>
    </row>
    <row r="4004" spans="1:6" x14ac:dyDescent="0.2">
      <c r="A4004" t="s">
        <v>3583</v>
      </c>
      <c r="B4004" s="1">
        <v>1075706</v>
      </c>
      <c r="C4004" s="1">
        <v>6022</v>
      </c>
      <c r="D4004" s="2">
        <v>42444</v>
      </c>
      <c r="E4004" s="1" t="s">
        <v>18</v>
      </c>
      <c r="F4004" t="str">
        <f>HYPERLINK("http://www.sec.gov/Archives/edgar/data/1075706/0001193125-16-504671-index.html")</f>
        <v>http://www.sec.gov/Archives/edgar/data/1075706/0001193125-16-504671-index.html</v>
      </c>
    </row>
    <row r="4005" spans="1:6" x14ac:dyDescent="0.2">
      <c r="A4005" t="s">
        <v>1639</v>
      </c>
      <c r="B4005" s="1">
        <v>1077183</v>
      </c>
      <c r="C4005" s="1">
        <v>8734</v>
      </c>
      <c r="D4005" s="2">
        <v>42444</v>
      </c>
      <c r="E4005" s="1" t="s">
        <v>18</v>
      </c>
      <c r="F4005" t="str">
        <f>HYPERLINK("http://www.sec.gov/Archives/edgar/data/1077183/0001564590-16-014868-index.html")</f>
        <v>http://www.sec.gov/Archives/edgar/data/1077183/0001564590-16-014868-index.html</v>
      </c>
    </row>
    <row r="4006" spans="1:6" x14ac:dyDescent="0.2">
      <c r="A4006" t="s">
        <v>3584</v>
      </c>
      <c r="B4006" s="1">
        <v>1082324</v>
      </c>
      <c r="C4006" s="1">
        <v>6794</v>
      </c>
      <c r="D4006" s="2">
        <v>42444</v>
      </c>
      <c r="E4006" s="1" t="s">
        <v>18</v>
      </c>
      <c r="F4006" t="str">
        <f>HYPERLINK("http://www.sec.gov/Archives/edgar/data/1082324/0001567619-16-002021-index.html")</f>
        <v>http://www.sec.gov/Archives/edgar/data/1082324/0001567619-16-002021-index.html</v>
      </c>
    </row>
    <row r="4007" spans="1:6" x14ac:dyDescent="0.2">
      <c r="A4007" t="s">
        <v>3585</v>
      </c>
      <c r="B4007" s="1">
        <v>1084554</v>
      </c>
      <c r="C4007" s="1">
        <v>8742</v>
      </c>
      <c r="D4007" s="2">
        <v>42444</v>
      </c>
      <c r="E4007" s="1" t="s">
        <v>18</v>
      </c>
      <c r="F4007" t="str">
        <f>HYPERLINK("http://www.sec.gov/Archives/edgar/data/1084554/0001062993-16-008358-index.html")</f>
        <v>http://www.sec.gov/Archives/edgar/data/1084554/0001062993-16-008358-index.html</v>
      </c>
    </row>
    <row r="4008" spans="1:6" x14ac:dyDescent="0.2">
      <c r="A4008" t="s">
        <v>3586</v>
      </c>
      <c r="B4008" s="1">
        <v>1085621</v>
      </c>
      <c r="C4008" s="1">
        <v>7371</v>
      </c>
      <c r="D4008" s="2">
        <v>42444</v>
      </c>
      <c r="E4008" s="1" t="s">
        <v>18</v>
      </c>
      <c r="F4008" t="str">
        <f>HYPERLINK("http://www.sec.gov/Archives/edgar/data/1085621/0001085621-16-000012-index.html")</f>
        <v>http://www.sec.gov/Archives/edgar/data/1085621/0001085621-16-000012-index.html</v>
      </c>
    </row>
    <row r="4009" spans="1:6" x14ac:dyDescent="0.2">
      <c r="A4009" t="s">
        <v>3587</v>
      </c>
      <c r="B4009" s="1">
        <v>1089872</v>
      </c>
      <c r="C4009" s="1">
        <v>7812</v>
      </c>
      <c r="D4009" s="2">
        <v>42444</v>
      </c>
      <c r="E4009" s="1" t="s">
        <v>18</v>
      </c>
      <c r="F4009" t="str">
        <f>HYPERLINK("http://www.sec.gov/Archives/edgar/data/1089872/0001193125-16-505378-index.html")</f>
        <v>http://www.sec.gov/Archives/edgar/data/1089872/0001193125-16-505378-index.html</v>
      </c>
    </row>
    <row r="4010" spans="1:6" x14ac:dyDescent="0.2">
      <c r="A4010" t="s">
        <v>3588</v>
      </c>
      <c r="B4010" s="1">
        <v>1093691</v>
      </c>
      <c r="C4010" s="1">
        <v>3620</v>
      </c>
      <c r="D4010" s="2">
        <v>42444</v>
      </c>
      <c r="E4010" s="1" t="s">
        <v>18</v>
      </c>
      <c r="F4010" t="str">
        <f>HYPERLINK("http://www.sec.gov/Archives/edgar/data/1093691/0001047469-16-011132-index.html")</f>
        <v>http://www.sec.gov/Archives/edgar/data/1093691/0001047469-16-011132-index.html</v>
      </c>
    </row>
    <row r="4011" spans="1:6" x14ac:dyDescent="0.2">
      <c r="A4011" t="s">
        <v>3589</v>
      </c>
      <c r="B4011" s="1">
        <v>1094810</v>
      </c>
      <c r="C4011" s="1">
        <v>6022</v>
      </c>
      <c r="D4011" s="2">
        <v>42444</v>
      </c>
      <c r="E4011" s="1" t="s">
        <v>18</v>
      </c>
      <c r="F4011" t="str">
        <f>HYPERLINK("http://www.sec.gov/Archives/edgar/data/1094810/0001144204-16-088146-index.html")</f>
        <v>http://www.sec.gov/Archives/edgar/data/1094810/0001144204-16-088146-index.html</v>
      </c>
    </row>
    <row r="4012" spans="1:6" x14ac:dyDescent="0.2">
      <c r="A4012" t="s">
        <v>3590</v>
      </c>
      <c r="B4012" s="1">
        <v>1095315</v>
      </c>
      <c r="C4012" s="1">
        <v>7389</v>
      </c>
      <c r="D4012" s="2">
        <v>42444</v>
      </c>
      <c r="E4012" s="1" t="s">
        <v>18</v>
      </c>
      <c r="F4012" t="str">
        <f>HYPERLINK("http://www.sec.gov/Archives/edgar/data/1095315/0001564590-16-014831-index.html")</f>
        <v>http://www.sec.gov/Archives/edgar/data/1095315/0001564590-16-014831-index.html</v>
      </c>
    </row>
    <row r="4013" spans="1:6" x14ac:dyDescent="0.2">
      <c r="A4013" t="s">
        <v>3591</v>
      </c>
      <c r="B4013" s="1">
        <v>1098151</v>
      </c>
      <c r="C4013" s="1">
        <v>6021</v>
      </c>
      <c r="D4013" s="2">
        <v>42444</v>
      </c>
      <c r="E4013" s="1" t="s">
        <v>18</v>
      </c>
      <c r="F4013" t="str">
        <f>HYPERLINK("http://www.sec.gov/Archives/edgar/data/1098151/0001098151-16-000054-index.html")</f>
        <v>http://www.sec.gov/Archives/edgar/data/1098151/0001098151-16-000054-index.html</v>
      </c>
    </row>
    <row r="4014" spans="1:6" x14ac:dyDescent="0.2">
      <c r="A4014" t="s">
        <v>3592</v>
      </c>
      <c r="B4014" s="1">
        <v>1098972</v>
      </c>
      <c r="C4014" s="1">
        <v>2836</v>
      </c>
      <c r="D4014" s="2">
        <v>42444</v>
      </c>
      <c r="E4014" s="1" t="s">
        <v>18</v>
      </c>
      <c r="F4014" t="str">
        <f>HYPERLINK("http://www.sec.gov/Archives/edgar/data/1098972/0001564590-16-014840-index.html")</f>
        <v>http://www.sec.gov/Archives/edgar/data/1098972/0001564590-16-014840-index.html</v>
      </c>
    </row>
    <row r="4015" spans="1:6" x14ac:dyDescent="0.2">
      <c r="A4015" t="s">
        <v>3593</v>
      </c>
      <c r="B4015" s="1">
        <v>1102993</v>
      </c>
      <c r="C4015" s="1">
        <v>7372</v>
      </c>
      <c r="D4015" s="2">
        <v>42444</v>
      </c>
      <c r="E4015" s="1" t="s">
        <v>18</v>
      </c>
      <c r="F4015" t="str">
        <f>HYPERLINK("http://www.sec.gov/Archives/edgar/data/1102993/0001102993-16-000020-index.html")</f>
        <v>http://www.sec.gov/Archives/edgar/data/1102993/0001102993-16-000020-index.html</v>
      </c>
    </row>
    <row r="4016" spans="1:6" x14ac:dyDescent="0.2">
      <c r="A4016" t="s">
        <v>3594</v>
      </c>
      <c r="B4016" s="1">
        <v>1103795</v>
      </c>
      <c r="C4016" s="1">
        <v>3533</v>
      </c>
      <c r="D4016" s="2">
        <v>42444</v>
      </c>
      <c r="E4016" s="1" t="s">
        <v>18</v>
      </c>
      <c r="F4016" t="str">
        <f>HYPERLINK("http://www.sec.gov/Archives/edgar/data/1103795/0001019687-16-005472-index.html")</f>
        <v>http://www.sec.gov/Archives/edgar/data/1103795/0001019687-16-005472-index.html</v>
      </c>
    </row>
    <row r="4017" spans="1:6" x14ac:dyDescent="0.2">
      <c r="A4017" t="s">
        <v>3595</v>
      </c>
      <c r="B4017" s="1">
        <v>1104358</v>
      </c>
      <c r="C4017" s="1">
        <v>4813</v>
      </c>
      <c r="D4017" s="2">
        <v>42444</v>
      </c>
      <c r="E4017" s="1" t="s">
        <v>18</v>
      </c>
      <c r="F4017" t="str">
        <f>HYPERLINK("http://www.sec.gov/Archives/edgar/data/1104358/0001104358-16-000016-index.html")</f>
        <v>http://www.sec.gov/Archives/edgar/data/1104358/0001104358-16-000016-index.html</v>
      </c>
    </row>
    <row r="4018" spans="1:6" x14ac:dyDescent="0.2">
      <c r="A4018" t="s">
        <v>3596</v>
      </c>
      <c r="B4018" s="1">
        <v>1127371</v>
      </c>
      <c r="C4018" s="1">
        <v>6022</v>
      </c>
      <c r="D4018" s="2">
        <v>42444</v>
      </c>
      <c r="E4018" s="1" t="s">
        <v>18</v>
      </c>
      <c r="F4018" t="str">
        <f>HYPERLINK("http://www.sec.gov/Archives/edgar/data/1127371/0001127371-16-000146-index.html")</f>
        <v>http://www.sec.gov/Archives/edgar/data/1127371/0001127371-16-000146-index.html</v>
      </c>
    </row>
    <row r="4019" spans="1:6" x14ac:dyDescent="0.2">
      <c r="A4019" t="s">
        <v>3597</v>
      </c>
      <c r="B4019" s="1">
        <v>1129633</v>
      </c>
      <c r="C4019" s="1">
        <v>6311</v>
      </c>
      <c r="D4019" s="2">
        <v>42444</v>
      </c>
      <c r="E4019" s="1" t="s">
        <v>18</v>
      </c>
      <c r="F4019" t="str">
        <f>HYPERLINK("http://www.sec.gov/Archives/edgar/data/1129633/0001129633-16-000029-index.html")</f>
        <v>http://www.sec.gov/Archives/edgar/data/1129633/0001129633-16-000029-index.html</v>
      </c>
    </row>
    <row r="4020" spans="1:6" x14ac:dyDescent="0.2">
      <c r="A4020" t="s">
        <v>3598</v>
      </c>
      <c r="B4020" s="1">
        <v>1131312</v>
      </c>
      <c r="C4020" s="1">
        <v>1382</v>
      </c>
      <c r="D4020" s="2">
        <v>42444</v>
      </c>
      <c r="E4020" s="1" t="s">
        <v>18</v>
      </c>
      <c r="F4020" t="str">
        <f>HYPERLINK("http://www.sec.gov/Archives/edgar/data/1131312/0001213900-16-011616-index.html")</f>
        <v>http://www.sec.gov/Archives/edgar/data/1131312/0001213900-16-011616-index.html</v>
      </c>
    </row>
    <row r="4021" spans="1:6" x14ac:dyDescent="0.2">
      <c r="A4021" t="s">
        <v>3599</v>
      </c>
      <c r="B4021" s="1">
        <v>1133416</v>
      </c>
      <c r="C4021" s="1">
        <v>2834</v>
      </c>
      <c r="D4021" s="2">
        <v>42444</v>
      </c>
      <c r="E4021" s="1" t="s">
        <v>18</v>
      </c>
      <c r="F4021" t="str">
        <f>HYPERLINK("http://www.sec.gov/Archives/edgar/data/1133416/0001193125-16-504330-index.html")</f>
        <v>http://www.sec.gov/Archives/edgar/data/1133416/0001193125-16-504330-index.html</v>
      </c>
    </row>
    <row r="4022" spans="1:6" x14ac:dyDescent="0.2">
      <c r="A4022" t="s">
        <v>3600</v>
      </c>
      <c r="B4022" s="1">
        <v>1133818</v>
      </c>
      <c r="C4022" s="1">
        <v>2834</v>
      </c>
      <c r="D4022" s="2">
        <v>42444</v>
      </c>
      <c r="E4022" s="1" t="s">
        <v>18</v>
      </c>
      <c r="F4022" t="str">
        <f>HYPERLINK("http://www.sec.gov/Archives/edgar/data/1133818/0001144204-16-088178-index.html")</f>
        <v>http://www.sec.gov/Archives/edgar/data/1133818/0001144204-16-088178-index.html</v>
      </c>
    </row>
    <row r="4023" spans="1:6" x14ac:dyDescent="0.2">
      <c r="A4023" t="s">
        <v>3601</v>
      </c>
      <c r="B4023" s="1">
        <v>1157601</v>
      </c>
      <c r="C4023" s="1">
        <v>2834</v>
      </c>
      <c r="D4023" s="2">
        <v>42444</v>
      </c>
      <c r="E4023" s="1" t="s">
        <v>18</v>
      </c>
      <c r="F4023" t="str">
        <f>HYPERLINK("http://www.sec.gov/Archives/edgar/data/1157601/0001047469-16-011140-index.html")</f>
        <v>http://www.sec.gov/Archives/edgar/data/1157601/0001047469-16-011140-index.html</v>
      </c>
    </row>
    <row r="4024" spans="1:6" x14ac:dyDescent="0.2">
      <c r="A4024" t="s">
        <v>3602</v>
      </c>
      <c r="B4024" s="1">
        <v>1162461</v>
      </c>
      <c r="C4024" s="1">
        <v>3845</v>
      </c>
      <c r="D4024" s="2">
        <v>42444</v>
      </c>
      <c r="E4024" s="1" t="s">
        <v>18</v>
      </c>
      <c r="F4024" t="str">
        <f>HYPERLINK("http://www.sec.gov/Archives/edgar/data/1162461/0001437749-16-027719-index.html")</f>
        <v>http://www.sec.gov/Archives/edgar/data/1162461/0001437749-16-027719-index.html</v>
      </c>
    </row>
    <row r="4025" spans="1:6" x14ac:dyDescent="0.2">
      <c r="A4025" t="s">
        <v>3603</v>
      </c>
      <c r="B4025" s="1">
        <v>1163199</v>
      </c>
      <c r="C4025" s="1">
        <v>6022</v>
      </c>
      <c r="D4025" s="2">
        <v>42444</v>
      </c>
      <c r="E4025" s="1" t="s">
        <v>18</v>
      </c>
      <c r="F4025" t="str">
        <f>HYPERLINK("http://www.sec.gov/Archives/edgar/data/1163199/0001019056-16-001181-index.html")</f>
        <v>http://www.sec.gov/Archives/edgar/data/1163199/0001019056-16-001181-index.html</v>
      </c>
    </row>
    <row r="4026" spans="1:6" x14ac:dyDescent="0.2">
      <c r="A4026" t="s">
        <v>3604</v>
      </c>
      <c r="B4026" s="1">
        <v>1176316</v>
      </c>
      <c r="C4026" s="1">
        <v>6035</v>
      </c>
      <c r="D4026" s="2">
        <v>42444</v>
      </c>
      <c r="E4026" s="1" t="s">
        <v>18</v>
      </c>
      <c r="F4026" t="str">
        <f>HYPERLINK("http://www.sec.gov/Archives/edgar/data/1176316/0001144204-16-088264-index.html")</f>
        <v>http://www.sec.gov/Archives/edgar/data/1176316/0001144204-16-088264-index.html</v>
      </c>
    </row>
    <row r="4027" spans="1:6" x14ac:dyDescent="0.2">
      <c r="A4027" t="s">
        <v>3605</v>
      </c>
      <c r="B4027" s="1">
        <v>1192448</v>
      </c>
      <c r="C4027" s="1">
        <v>3841</v>
      </c>
      <c r="D4027" s="2">
        <v>42444</v>
      </c>
      <c r="E4027" s="1" t="s">
        <v>18</v>
      </c>
      <c r="F4027" t="str">
        <f>HYPERLINK("http://www.sec.gov/Archives/edgar/data/1192448/0001558370-16-004119-index.html")</f>
        <v>http://www.sec.gov/Archives/edgar/data/1192448/0001558370-16-004119-index.html</v>
      </c>
    </row>
    <row r="4028" spans="1:6" x14ac:dyDescent="0.2">
      <c r="A4028" t="s">
        <v>3606</v>
      </c>
      <c r="B4028" s="1">
        <v>1211759</v>
      </c>
      <c r="C4028" s="1">
        <v>7372</v>
      </c>
      <c r="D4028" s="2">
        <v>42444</v>
      </c>
      <c r="E4028" s="1" t="s">
        <v>18</v>
      </c>
      <c r="F4028" t="str">
        <f>HYPERLINK("http://www.sec.gov/Archives/edgar/data/1211759/0001193125-16-505342-index.html")</f>
        <v>http://www.sec.gov/Archives/edgar/data/1211759/0001193125-16-505342-index.html</v>
      </c>
    </row>
    <row r="4029" spans="1:6" x14ac:dyDescent="0.2">
      <c r="A4029" t="s">
        <v>3607</v>
      </c>
      <c r="B4029" s="1">
        <v>1227025</v>
      </c>
      <c r="C4029" s="1">
        <v>3674</v>
      </c>
      <c r="D4029" s="2">
        <v>42444</v>
      </c>
      <c r="E4029" s="1" t="s">
        <v>18</v>
      </c>
      <c r="F4029" t="str">
        <f>HYPERLINK("http://www.sec.gov/Archives/edgar/data/1227025/0001558370-16-004127-index.html")</f>
        <v>http://www.sec.gov/Archives/edgar/data/1227025/0001558370-16-004127-index.html</v>
      </c>
    </row>
    <row r="4030" spans="1:6" x14ac:dyDescent="0.2">
      <c r="A4030" t="s">
        <v>3608</v>
      </c>
      <c r="B4030" s="1">
        <v>1232582</v>
      </c>
      <c r="C4030" s="1">
        <v>6798</v>
      </c>
      <c r="D4030" s="2">
        <v>42444</v>
      </c>
      <c r="E4030" s="1" t="s">
        <v>42</v>
      </c>
      <c r="F4030" t="str">
        <f>HYPERLINK("http://www.sec.gov/Archives/edgar/data/1232582/0001232582-16-000188-index.html")</f>
        <v>http://www.sec.gov/Archives/edgar/data/1232582/0001232582-16-000188-index.html</v>
      </c>
    </row>
    <row r="4031" spans="1:6" x14ac:dyDescent="0.2">
      <c r="A4031" t="s">
        <v>3609</v>
      </c>
      <c r="B4031" s="1">
        <v>1260990</v>
      </c>
      <c r="C4031" s="1">
        <v>2834</v>
      </c>
      <c r="D4031" s="2">
        <v>42444</v>
      </c>
      <c r="E4031" s="1" t="s">
        <v>18</v>
      </c>
      <c r="F4031" t="str">
        <f>HYPERLINK("http://www.sec.gov/Archives/edgar/data/1260990/0001047469-16-011178-index.html")</f>
        <v>http://www.sec.gov/Archives/edgar/data/1260990/0001047469-16-011178-index.html</v>
      </c>
    </row>
    <row r="4032" spans="1:6" x14ac:dyDescent="0.2">
      <c r="A4032" t="s">
        <v>3610</v>
      </c>
      <c r="B4032" s="1">
        <v>1267602</v>
      </c>
      <c r="C4032" s="1">
        <v>2834</v>
      </c>
      <c r="D4032" s="2">
        <v>42444</v>
      </c>
      <c r="E4032" s="1" t="s">
        <v>18</v>
      </c>
      <c r="F4032" t="str">
        <f>HYPERLINK("http://www.sec.gov/Archives/edgar/data/1267602/0001267602-16-000119-index.html")</f>
        <v>http://www.sec.gov/Archives/edgar/data/1267602/0001267602-16-000119-index.html</v>
      </c>
    </row>
    <row r="4033" spans="1:6" x14ac:dyDescent="0.2">
      <c r="A4033" t="s">
        <v>3611</v>
      </c>
      <c r="B4033" s="1">
        <v>1279695</v>
      </c>
      <c r="C4033" s="1">
        <v>3841</v>
      </c>
      <c r="D4033" s="2">
        <v>42444</v>
      </c>
      <c r="E4033" s="1" t="s">
        <v>18</v>
      </c>
      <c r="F4033" t="str">
        <f>HYPERLINK("http://www.sec.gov/Archives/edgar/data/1279695/0001193125-16-504199-index.html")</f>
        <v>http://www.sec.gov/Archives/edgar/data/1279695/0001193125-16-504199-index.html</v>
      </c>
    </row>
    <row r="4034" spans="1:6" x14ac:dyDescent="0.2">
      <c r="A4034" t="s">
        <v>3612</v>
      </c>
      <c r="B4034" s="1">
        <v>1285819</v>
      </c>
      <c r="C4034" s="1">
        <v>2834</v>
      </c>
      <c r="D4034" s="2">
        <v>42444</v>
      </c>
      <c r="E4034" s="1" t="s">
        <v>18</v>
      </c>
      <c r="F4034" t="str">
        <f>HYPERLINK("http://www.sec.gov/Archives/edgar/data/1285819/0001285819-16-000014-index.html")</f>
        <v>http://www.sec.gov/Archives/edgar/data/1285819/0001285819-16-000014-index.html</v>
      </c>
    </row>
    <row r="4035" spans="1:6" x14ac:dyDescent="0.2">
      <c r="A4035" t="s">
        <v>3613</v>
      </c>
      <c r="B4035" s="1">
        <v>1294649</v>
      </c>
      <c r="C4035" s="1">
        <v>6794</v>
      </c>
      <c r="D4035" s="2">
        <v>42444</v>
      </c>
      <c r="E4035" s="1" t="s">
        <v>18</v>
      </c>
      <c r="F4035" t="str">
        <f>HYPERLINK("http://www.sec.gov/Archives/edgar/data/1294649/0001144204-16-088249-index.html")</f>
        <v>http://www.sec.gov/Archives/edgar/data/1294649/0001144204-16-088249-index.html</v>
      </c>
    </row>
    <row r="4036" spans="1:6" x14ac:dyDescent="0.2">
      <c r="A4036" t="s">
        <v>3614</v>
      </c>
      <c r="B4036" s="1">
        <v>1295401</v>
      </c>
      <c r="C4036" s="1">
        <v>6021</v>
      </c>
      <c r="D4036" s="2">
        <v>42444</v>
      </c>
      <c r="E4036" s="1" t="s">
        <v>18</v>
      </c>
      <c r="F4036" t="str">
        <f>HYPERLINK("http://www.sec.gov/Archives/edgar/data/1295401/0001295401-16-000017-index.html")</f>
        <v>http://www.sec.gov/Archives/edgar/data/1295401/0001295401-16-000017-index.html</v>
      </c>
    </row>
    <row r="4037" spans="1:6" x14ac:dyDescent="0.2">
      <c r="A4037" t="s">
        <v>3615</v>
      </c>
      <c r="B4037" s="1">
        <v>1297184</v>
      </c>
      <c r="C4037" s="1">
        <v>2834</v>
      </c>
      <c r="D4037" s="2">
        <v>42444</v>
      </c>
      <c r="E4037" s="1" t="s">
        <v>18</v>
      </c>
      <c r="F4037" t="str">
        <f>HYPERLINK("http://www.sec.gov/Archives/edgar/data/1297184/0001558370-16-004146-index.html")</f>
        <v>http://www.sec.gov/Archives/edgar/data/1297184/0001558370-16-004146-index.html</v>
      </c>
    </row>
    <row r="4038" spans="1:6" x14ac:dyDescent="0.2">
      <c r="A4038" t="s">
        <v>3616</v>
      </c>
      <c r="B4038" s="1">
        <v>1297704</v>
      </c>
      <c r="C4038" s="1">
        <v>2834</v>
      </c>
      <c r="D4038" s="2">
        <v>42444</v>
      </c>
      <c r="E4038" s="1" t="s">
        <v>18</v>
      </c>
      <c r="F4038" t="str">
        <f>HYPERLINK("http://www.sec.gov/Archives/edgar/data/1297704/0001297704-16-000117-index.html")</f>
        <v>http://www.sec.gov/Archives/edgar/data/1297704/0001297704-16-000117-index.html</v>
      </c>
    </row>
    <row r="4039" spans="1:6" x14ac:dyDescent="0.2">
      <c r="A4039" t="s">
        <v>3617</v>
      </c>
      <c r="B4039" s="1">
        <v>1301501</v>
      </c>
      <c r="C4039" s="1">
        <v>2834</v>
      </c>
      <c r="D4039" s="2">
        <v>42444</v>
      </c>
      <c r="E4039" s="1" t="s">
        <v>18</v>
      </c>
      <c r="F4039" t="str">
        <f>HYPERLINK("http://www.sec.gov/Archives/edgar/data/1301501/0001301501-16-000046-index.html")</f>
        <v>http://www.sec.gov/Archives/edgar/data/1301501/0001301501-16-000046-index.html</v>
      </c>
    </row>
    <row r="4040" spans="1:6" x14ac:dyDescent="0.2">
      <c r="A4040" t="s">
        <v>3618</v>
      </c>
      <c r="B4040" s="1">
        <v>1308208</v>
      </c>
      <c r="C4040" s="1">
        <v>4213</v>
      </c>
      <c r="D4040" s="2">
        <v>42444</v>
      </c>
      <c r="E4040" s="1" t="s">
        <v>18</v>
      </c>
      <c r="F4040" t="str">
        <f>HYPERLINK("http://www.sec.gov/Archives/edgar/data/1308208/0001564590-16-014848-index.html")</f>
        <v>http://www.sec.gov/Archives/edgar/data/1308208/0001564590-16-014848-index.html</v>
      </c>
    </row>
    <row r="4041" spans="1:6" x14ac:dyDescent="0.2">
      <c r="A4041" t="s">
        <v>3619</v>
      </c>
      <c r="B4041" s="1">
        <v>1311230</v>
      </c>
      <c r="C4041" s="1">
        <v>2860</v>
      </c>
      <c r="D4041" s="2">
        <v>42444</v>
      </c>
      <c r="E4041" s="1" t="s">
        <v>18</v>
      </c>
      <c r="F4041" t="str">
        <f>HYPERLINK("http://www.sec.gov/Archives/edgar/data/1311230/0001311230-16-000013-index.html")</f>
        <v>http://www.sec.gov/Archives/edgar/data/1311230/0001311230-16-000013-index.html</v>
      </c>
    </row>
    <row r="4042" spans="1:6" x14ac:dyDescent="0.2">
      <c r="A4042" t="s">
        <v>3620</v>
      </c>
      <c r="B4042" s="1">
        <v>1318568</v>
      </c>
      <c r="C4042" s="1">
        <v>6199</v>
      </c>
      <c r="D4042" s="2">
        <v>42444</v>
      </c>
      <c r="E4042" s="1" t="s">
        <v>18</v>
      </c>
      <c r="F4042" t="str">
        <f>HYPERLINK("http://www.sec.gov/Archives/edgar/data/1318568/0001558370-16-004171-index.html")</f>
        <v>http://www.sec.gov/Archives/edgar/data/1318568/0001558370-16-004171-index.html</v>
      </c>
    </row>
    <row r="4043" spans="1:6" x14ac:dyDescent="0.2">
      <c r="A4043" t="s">
        <v>3621</v>
      </c>
      <c r="B4043" s="1">
        <v>1325670</v>
      </c>
      <c r="C4043" s="1">
        <v>6022</v>
      </c>
      <c r="D4043" s="2">
        <v>42444</v>
      </c>
      <c r="E4043" s="1" t="s">
        <v>18</v>
      </c>
      <c r="F4043" t="str">
        <f>HYPERLINK("http://www.sec.gov/Archives/edgar/data/1325670/0001571049-16-013035-index.html")</f>
        <v>http://www.sec.gov/Archives/edgar/data/1325670/0001571049-16-013035-index.html</v>
      </c>
    </row>
    <row r="4044" spans="1:6" x14ac:dyDescent="0.2">
      <c r="A4044" t="s">
        <v>3622</v>
      </c>
      <c r="B4044" s="1">
        <v>1325879</v>
      </c>
      <c r="C4044" s="1">
        <v>2834</v>
      </c>
      <c r="D4044" s="2">
        <v>42444</v>
      </c>
      <c r="E4044" s="1" t="s">
        <v>18</v>
      </c>
      <c r="F4044" t="str">
        <f>HYPERLINK("http://www.sec.gov/Archives/edgar/data/1325879/0001564590-16-014772-index.html")</f>
        <v>http://www.sec.gov/Archives/edgar/data/1325879/0001564590-16-014772-index.html</v>
      </c>
    </row>
    <row r="4045" spans="1:6" x14ac:dyDescent="0.2">
      <c r="A4045" t="s">
        <v>3623</v>
      </c>
      <c r="B4045" s="1">
        <v>1326200</v>
      </c>
      <c r="C4045" s="1">
        <v>4412</v>
      </c>
      <c r="D4045" s="2">
        <v>42444</v>
      </c>
      <c r="E4045" s="1" t="s">
        <v>18</v>
      </c>
      <c r="F4045" t="str">
        <f>HYPERLINK("http://www.sec.gov/Archives/edgar/data/1326200/0001104659-16-105221-index.html")</f>
        <v>http://www.sec.gov/Archives/edgar/data/1326200/0001104659-16-105221-index.html</v>
      </c>
    </row>
    <row r="4046" spans="1:6" x14ac:dyDescent="0.2">
      <c r="A4046" t="s">
        <v>3624</v>
      </c>
      <c r="B4046" s="1">
        <v>1326428</v>
      </c>
      <c r="C4046" s="1">
        <v>1311</v>
      </c>
      <c r="D4046" s="2">
        <v>42444</v>
      </c>
      <c r="E4046" s="1" t="s">
        <v>18</v>
      </c>
      <c r="F4046" t="str">
        <f>HYPERLINK("http://www.sec.gov/Archives/edgar/data/1326428/0001326428-16-000071-index.html")</f>
        <v>http://www.sec.gov/Archives/edgar/data/1326428/0001326428-16-000071-index.html</v>
      </c>
    </row>
    <row r="4047" spans="1:6" x14ac:dyDescent="0.2">
      <c r="A4047" t="s">
        <v>3625</v>
      </c>
      <c r="B4047" s="1">
        <v>1332174</v>
      </c>
      <c r="C4047" s="1">
        <v>6799</v>
      </c>
      <c r="D4047" s="2">
        <v>42444</v>
      </c>
      <c r="E4047" s="1" t="s">
        <v>18</v>
      </c>
      <c r="F4047" t="str">
        <f>HYPERLINK("http://www.sec.gov/Archives/edgar/data/1332174/0001437749-16-027698-index.html")</f>
        <v>http://www.sec.gov/Archives/edgar/data/1332174/0001437749-16-027698-index.html</v>
      </c>
    </row>
    <row r="4048" spans="1:6" x14ac:dyDescent="0.2">
      <c r="A4048" t="s">
        <v>3626</v>
      </c>
      <c r="B4048" s="1">
        <v>1338042</v>
      </c>
      <c r="C4048" s="1">
        <v>2834</v>
      </c>
      <c r="D4048" s="2">
        <v>42444</v>
      </c>
      <c r="E4048" s="1" t="s">
        <v>18</v>
      </c>
      <c r="F4048" t="str">
        <f>HYPERLINK("http://www.sec.gov/Archives/edgar/data/1338042/0001558370-16-004149-index.html")</f>
        <v>http://www.sec.gov/Archives/edgar/data/1338042/0001558370-16-004149-index.html</v>
      </c>
    </row>
    <row r="4049" spans="1:6" x14ac:dyDescent="0.2">
      <c r="A4049" t="s">
        <v>3627</v>
      </c>
      <c r="B4049" s="1">
        <v>1350653</v>
      </c>
      <c r="C4049" s="1">
        <v>3841</v>
      </c>
      <c r="D4049" s="2">
        <v>42444</v>
      </c>
      <c r="E4049" s="1" t="s">
        <v>18</v>
      </c>
      <c r="F4049" t="str">
        <f>HYPERLINK("http://www.sec.gov/Archives/edgar/data/1350653/0001350653-16-000058-index.html")</f>
        <v>http://www.sec.gov/Archives/edgar/data/1350653/0001350653-16-000058-index.html</v>
      </c>
    </row>
    <row r="4050" spans="1:6" x14ac:dyDescent="0.2">
      <c r="A4050" t="s">
        <v>3628</v>
      </c>
      <c r="B4050" s="1">
        <v>1353970</v>
      </c>
      <c r="C4050" s="1">
        <v>3086</v>
      </c>
      <c r="D4050" s="2">
        <v>42444</v>
      </c>
      <c r="E4050" s="1" t="s">
        <v>18</v>
      </c>
      <c r="F4050" t="str">
        <f>HYPERLINK("http://www.sec.gov/Archives/edgar/data/1353970/0001079973-16-000846-index.html")</f>
        <v>http://www.sec.gov/Archives/edgar/data/1353970/0001079973-16-000846-index.html</v>
      </c>
    </row>
    <row r="4051" spans="1:6" x14ac:dyDescent="0.2">
      <c r="A4051" t="s">
        <v>3629</v>
      </c>
      <c r="B4051" s="1">
        <v>1369568</v>
      </c>
      <c r="C4051" s="1">
        <v>2834</v>
      </c>
      <c r="D4051" s="2">
        <v>42444</v>
      </c>
      <c r="E4051" s="1" t="s">
        <v>18</v>
      </c>
      <c r="F4051" t="str">
        <f>HYPERLINK("http://www.sec.gov/Archives/edgar/data/1369568/0001193125-16-505167-index.html")</f>
        <v>http://www.sec.gov/Archives/edgar/data/1369568/0001193125-16-505167-index.html</v>
      </c>
    </row>
    <row r="4052" spans="1:6" x14ac:dyDescent="0.2">
      <c r="A4052" t="s">
        <v>3630</v>
      </c>
      <c r="B4052" s="1">
        <v>1371446</v>
      </c>
      <c r="C4052" s="1">
        <v>6211</v>
      </c>
      <c r="D4052" s="2">
        <v>42444</v>
      </c>
      <c r="E4052" s="1" t="s">
        <v>18</v>
      </c>
      <c r="F4052" t="str">
        <f>HYPERLINK("http://www.sec.gov/Archives/edgar/data/1371446/0001564590-16-014821-index.html")</f>
        <v>http://www.sec.gov/Archives/edgar/data/1371446/0001564590-16-014821-index.html</v>
      </c>
    </row>
    <row r="4053" spans="1:6" x14ac:dyDescent="0.2">
      <c r="A4053" t="s">
        <v>3631</v>
      </c>
      <c r="B4053" s="1">
        <v>1374690</v>
      </c>
      <c r="C4053" s="1">
        <v>2834</v>
      </c>
      <c r="D4053" s="2">
        <v>42444</v>
      </c>
      <c r="E4053" s="1" t="s">
        <v>18</v>
      </c>
      <c r="F4053" t="str">
        <f>HYPERLINK("http://www.sec.gov/Archives/edgar/data/1374690/0001193125-16-505173-index.html")</f>
        <v>http://www.sec.gov/Archives/edgar/data/1374690/0001193125-16-505173-index.html</v>
      </c>
    </row>
    <row r="4054" spans="1:6" x14ac:dyDescent="0.2">
      <c r="A4054" t="s">
        <v>3632</v>
      </c>
      <c r="B4054" s="1">
        <v>1375151</v>
      </c>
      <c r="C4054" s="1">
        <v>2834</v>
      </c>
      <c r="D4054" s="2">
        <v>42444</v>
      </c>
      <c r="E4054" s="1" t="s">
        <v>18</v>
      </c>
      <c r="F4054" t="str">
        <f>HYPERLINK("http://www.sec.gov/Archives/edgar/data/1375151/0001375151-16-000021-index.html")</f>
        <v>http://www.sec.gov/Archives/edgar/data/1375151/0001375151-16-000021-index.html</v>
      </c>
    </row>
    <row r="4055" spans="1:6" x14ac:dyDescent="0.2">
      <c r="A4055" t="s">
        <v>3633</v>
      </c>
      <c r="B4055" s="1">
        <v>1375796</v>
      </c>
      <c r="C4055" s="1">
        <v>7311</v>
      </c>
      <c r="D4055" s="2">
        <v>42444</v>
      </c>
      <c r="E4055" s="1" t="s">
        <v>18</v>
      </c>
      <c r="F4055" t="str">
        <f>HYPERLINK("http://www.sec.gov/Archives/edgar/data/1375796/0001104659-16-105045-index.html")</f>
        <v>http://www.sec.gov/Archives/edgar/data/1375796/0001104659-16-105045-index.html</v>
      </c>
    </row>
    <row r="4056" spans="1:6" x14ac:dyDescent="0.2">
      <c r="A4056" t="s">
        <v>3634</v>
      </c>
      <c r="B4056" s="1">
        <v>1379527</v>
      </c>
      <c r="C4056" s="1">
        <v>6221</v>
      </c>
      <c r="D4056" s="2">
        <v>42444</v>
      </c>
      <c r="E4056" s="1" t="s">
        <v>18</v>
      </c>
      <c r="F4056" t="str">
        <f>HYPERLINK("http://www.sec.gov/Archives/edgar/data/1379527/0001571049-16-013038-index.html")</f>
        <v>http://www.sec.gov/Archives/edgar/data/1379527/0001571049-16-013038-index.html</v>
      </c>
    </row>
    <row r="4057" spans="1:6" x14ac:dyDescent="0.2">
      <c r="A4057" t="s">
        <v>3635</v>
      </c>
      <c r="B4057" s="1">
        <v>1379606</v>
      </c>
      <c r="C4057" s="1">
        <v>6221</v>
      </c>
      <c r="D4057" s="2">
        <v>42444</v>
      </c>
      <c r="E4057" s="1" t="s">
        <v>18</v>
      </c>
      <c r="F4057" t="str">
        <f>HYPERLINK("http://www.sec.gov/Archives/edgar/data/1379606/0001571049-16-013038-index.html")</f>
        <v>http://www.sec.gov/Archives/edgar/data/1379606/0001571049-16-013038-index.html</v>
      </c>
    </row>
    <row r="4058" spans="1:6" x14ac:dyDescent="0.2">
      <c r="A4058" t="s">
        <v>3636</v>
      </c>
      <c r="B4058" s="1">
        <v>1384195</v>
      </c>
      <c r="C4058" s="1">
        <v>1311</v>
      </c>
      <c r="D4058" s="2">
        <v>42444</v>
      </c>
      <c r="E4058" s="1" t="s">
        <v>18</v>
      </c>
      <c r="F4058" t="str">
        <f>HYPERLINK("http://www.sec.gov/Archives/edgar/data/1384195/0001144204-16-088170-index.html")</f>
        <v>http://www.sec.gov/Archives/edgar/data/1384195/0001144204-16-088170-index.html</v>
      </c>
    </row>
    <row r="4059" spans="1:6" x14ac:dyDescent="0.2">
      <c r="A4059" t="s">
        <v>3637</v>
      </c>
      <c r="B4059" s="1">
        <v>1385228</v>
      </c>
      <c r="C4059" s="1">
        <v>2834</v>
      </c>
      <c r="D4059" s="2">
        <v>42444</v>
      </c>
      <c r="E4059" s="1" t="s">
        <v>18</v>
      </c>
      <c r="F4059" t="str">
        <f>HYPERLINK("http://www.sec.gov/Archives/edgar/data/1385228/0001564590-16-014829-index.html")</f>
        <v>http://www.sec.gov/Archives/edgar/data/1385228/0001564590-16-014829-index.html</v>
      </c>
    </row>
    <row r="4060" spans="1:6" x14ac:dyDescent="0.2">
      <c r="A4060" t="s">
        <v>3638</v>
      </c>
      <c r="B4060" s="1">
        <v>1385849</v>
      </c>
      <c r="C4060" s="1">
        <v>1400</v>
      </c>
      <c r="D4060" s="2">
        <v>42444</v>
      </c>
      <c r="E4060" s="1" t="s">
        <v>18</v>
      </c>
      <c r="F4060" t="str">
        <f>HYPERLINK("http://www.sec.gov/Archives/edgar/data/1385849/0001062993-16-008353-index.html")</f>
        <v>http://www.sec.gov/Archives/edgar/data/1385849/0001062993-16-008353-index.html</v>
      </c>
    </row>
    <row r="4061" spans="1:6" x14ac:dyDescent="0.2">
      <c r="A4061" t="s">
        <v>3639</v>
      </c>
      <c r="B4061" s="1">
        <v>1390213</v>
      </c>
      <c r="C4061" s="1">
        <v>6798</v>
      </c>
      <c r="D4061" s="2">
        <v>42444</v>
      </c>
      <c r="E4061" s="1" t="s">
        <v>18</v>
      </c>
      <c r="F4061" t="str">
        <f>HYPERLINK("http://www.sec.gov/Archives/edgar/data/1390213/0001390213-16-000031-index.html")</f>
        <v>http://www.sec.gov/Archives/edgar/data/1390213/0001390213-16-000031-index.html</v>
      </c>
    </row>
    <row r="4062" spans="1:6" x14ac:dyDescent="0.2">
      <c r="A4062" t="s">
        <v>3640</v>
      </c>
      <c r="B4062" s="1">
        <v>1393726</v>
      </c>
      <c r="C4062" s="1">
        <v>6411</v>
      </c>
      <c r="D4062" s="2">
        <v>42444</v>
      </c>
      <c r="E4062" s="1" t="s">
        <v>18</v>
      </c>
      <c r="F4062" t="str">
        <f>HYPERLINK("http://www.sec.gov/Archives/edgar/data/1393726/0001393726-16-000082-index.html")</f>
        <v>http://www.sec.gov/Archives/edgar/data/1393726/0001393726-16-000082-index.html</v>
      </c>
    </row>
    <row r="4063" spans="1:6" x14ac:dyDescent="0.2">
      <c r="A4063" t="s">
        <v>3641</v>
      </c>
      <c r="B4063" s="1">
        <v>1397516</v>
      </c>
      <c r="C4063" s="1">
        <v>1311</v>
      </c>
      <c r="D4063" s="2">
        <v>42444</v>
      </c>
      <c r="E4063" s="1" t="s">
        <v>18</v>
      </c>
      <c r="F4063" t="str">
        <f>HYPERLINK("http://www.sec.gov/Archives/edgar/data/1397516/0001564590-16-014863-index.html")</f>
        <v>http://www.sec.gov/Archives/edgar/data/1397516/0001564590-16-014863-index.html</v>
      </c>
    </row>
    <row r="4064" spans="1:6" x14ac:dyDescent="0.2">
      <c r="A4064" t="s">
        <v>3642</v>
      </c>
      <c r="B4064" s="1">
        <v>1402829</v>
      </c>
      <c r="C4064" s="1">
        <v>1600</v>
      </c>
      <c r="D4064" s="2">
        <v>42444</v>
      </c>
      <c r="E4064" s="1" t="s">
        <v>18</v>
      </c>
      <c r="F4064" t="str">
        <f>HYPERLINK("http://www.sec.gov/Archives/edgar/data/1402829/0001402829-16-000040-index.html")</f>
        <v>http://www.sec.gov/Archives/edgar/data/1402829/0001402829-16-000040-index.html</v>
      </c>
    </row>
    <row r="4065" spans="1:6" x14ac:dyDescent="0.2">
      <c r="A4065" t="s">
        <v>3643</v>
      </c>
      <c r="B4065" s="1">
        <v>1407067</v>
      </c>
      <c r="C4065" s="1">
        <v>6022</v>
      </c>
      <c r="D4065" s="2">
        <v>42444</v>
      </c>
      <c r="E4065" s="1" t="s">
        <v>18</v>
      </c>
      <c r="F4065" t="str">
        <f>HYPERLINK("http://www.sec.gov/Archives/edgar/data/1407067/0001193125-16-504895-index.html")</f>
        <v>http://www.sec.gov/Archives/edgar/data/1407067/0001193125-16-504895-index.html</v>
      </c>
    </row>
    <row r="4066" spans="1:6" x14ac:dyDescent="0.2">
      <c r="A4066" t="s">
        <v>3644</v>
      </c>
      <c r="B4066" s="1">
        <v>1409916</v>
      </c>
      <c r="C4066" s="1">
        <v>8062</v>
      </c>
      <c r="D4066" s="2">
        <v>42444</v>
      </c>
      <c r="E4066" s="1" t="s">
        <v>18</v>
      </c>
      <c r="F4066" t="str">
        <f>HYPERLINK("http://www.sec.gov/Archives/edgar/data/1409916/0001062993-16-008351-index.html")</f>
        <v>http://www.sec.gov/Archives/edgar/data/1409916/0001062993-16-008351-index.html</v>
      </c>
    </row>
    <row r="4067" spans="1:6" x14ac:dyDescent="0.2">
      <c r="A4067" t="s">
        <v>3645</v>
      </c>
      <c r="B4067" s="1">
        <v>1410098</v>
      </c>
      <c r="C4067" s="1">
        <v>2834</v>
      </c>
      <c r="D4067" s="2">
        <v>42444</v>
      </c>
      <c r="E4067" s="1" t="s">
        <v>18</v>
      </c>
      <c r="F4067" t="str">
        <f>HYPERLINK("http://www.sec.gov/Archives/edgar/data/1410098/0001354488-16-006585-index.html")</f>
        <v>http://www.sec.gov/Archives/edgar/data/1410098/0001354488-16-006585-index.html</v>
      </c>
    </row>
    <row r="4068" spans="1:6" x14ac:dyDescent="0.2">
      <c r="A4068" t="s">
        <v>3646</v>
      </c>
      <c r="B4068" s="1">
        <v>1411303</v>
      </c>
      <c r="C4068" s="1">
        <v>6022</v>
      </c>
      <c r="D4068" s="2">
        <v>42444</v>
      </c>
      <c r="E4068" s="1" t="s">
        <v>18</v>
      </c>
      <c r="F4068" t="str">
        <f>HYPERLINK("http://www.sec.gov/Archives/edgar/data/1411303/0001437749-16-027675-index.html")</f>
        <v>http://www.sec.gov/Archives/edgar/data/1411303/0001437749-16-027675-index.html</v>
      </c>
    </row>
    <row r="4069" spans="1:6" x14ac:dyDescent="0.2">
      <c r="A4069" t="s">
        <v>3647</v>
      </c>
      <c r="B4069" s="1">
        <v>1412486</v>
      </c>
      <c r="C4069" s="1">
        <v>2834</v>
      </c>
      <c r="D4069" s="2">
        <v>42444</v>
      </c>
      <c r="E4069" s="1" t="s">
        <v>18</v>
      </c>
      <c r="F4069" t="str">
        <f>HYPERLINK("http://www.sec.gov/Archives/edgar/data/1412486/0001415889-16-005091-index.html")</f>
        <v>http://www.sec.gov/Archives/edgar/data/1412486/0001415889-16-005091-index.html</v>
      </c>
    </row>
    <row r="4070" spans="1:6" x14ac:dyDescent="0.2">
      <c r="A4070" t="s">
        <v>3648</v>
      </c>
      <c r="B4070" s="1">
        <v>1413837</v>
      </c>
      <c r="C4070" s="1">
        <v>6022</v>
      </c>
      <c r="D4070" s="2">
        <v>42444</v>
      </c>
      <c r="E4070" s="1" t="s">
        <v>18</v>
      </c>
      <c r="F4070" t="str">
        <f>HYPERLINK("http://www.sec.gov/Archives/edgar/data/1413837/0001564590-16-014870-index.html")</f>
        <v>http://www.sec.gov/Archives/edgar/data/1413837/0001564590-16-014870-index.html</v>
      </c>
    </row>
    <row r="4071" spans="1:6" x14ac:dyDescent="0.2">
      <c r="A4071" t="s">
        <v>3649</v>
      </c>
      <c r="B4071" s="1">
        <v>1415336</v>
      </c>
      <c r="C4071" s="1">
        <v>3845</v>
      </c>
      <c r="D4071" s="2">
        <v>42444</v>
      </c>
      <c r="E4071" s="1" t="s">
        <v>18</v>
      </c>
      <c r="F4071" t="str">
        <f>HYPERLINK("http://www.sec.gov/Archives/edgar/data/1415336/0001628280-16-012690-index.html")</f>
        <v>http://www.sec.gov/Archives/edgar/data/1415336/0001628280-16-012690-index.html</v>
      </c>
    </row>
    <row r="4072" spans="1:6" x14ac:dyDescent="0.2">
      <c r="A4072" t="s">
        <v>3650</v>
      </c>
      <c r="B4072" s="1">
        <v>1421602</v>
      </c>
      <c r="C4072" s="1">
        <v>6799</v>
      </c>
      <c r="D4072" s="2">
        <v>42444</v>
      </c>
      <c r="E4072" s="1" t="s">
        <v>18</v>
      </c>
      <c r="F4072" t="str">
        <f>HYPERLINK("http://www.sec.gov/Archives/edgar/data/1421602/0001079974-16-001042-index.html")</f>
        <v>http://www.sec.gov/Archives/edgar/data/1421602/0001079974-16-001042-index.html</v>
      </c>
    </row>
    <row r="4073" spans="1:6" x14ac:dyDescent="0.2">
      <c r="A4073" t="s">
        <v>3651</v>
      </c>
      <c r="B4073" s="1">
        <v>1421636</v>
      </c>
      <c r="C4073" s="1">
        <v>6799</v>
      </c>
      <c r="D4073" s="2">
        <v>42444</v>
      </c>
      <c r="E4073" s="1" t="s">
        <v>18</v>
      </c>
      <c r="F4073" t="str">
        <f>HYPERLINK("http://www.sec.gov/Archives/edgar/data/1421636/0001079974-16-001041-index.html")</f>
        <v>http://www.sec.gov/Archives/edgar/data/1421636/0001079974-16-001041-index.html</v>
      </c>
    </row>
    <row r="4074" spans="1:6" x14ac:dyDescent="0.2">
      <c r="A4074" t="s">
        <v>3652</v>
      </c>
      <c r="B4074" s="1">
        <v>1429260</v>
      </c>
      <c r="C4074" s="1">
        <v>2834</v>
      </c>
      <c r="D4074" s="2">
        <v>42444</v>
      </c>
      <c r="E4074" s="1" t="s">
        <v>18</v>
      </c>
      <c r="F4074" t="str">
        <f>HYPERLINK("http://www.sec.gov/Archives/edgar/data/1429260/0001144204-16-088262-index.html")</f>
        <v>http://www.sec.gov/Archives/edgar/data/1429260/0001144204-16-088262-index.html</v>
      </c>
    </row>
    <row r="4075" spans="1:6" x14ac:dyDescent="0.2">
      <c r="A4075" t="s">
        <v>3653</v>
      </c>
      <c r="B4075" s="1">
        <v>1437786</v>
      </c>
      <c r="C4075" s="1">
        <v>2834</v>
      </c>
      <c r="D4075" s="2">
        <v>42444</v>
      </c>
      <c r="E4075" s="1" t="s">
        <v>18</v>
      </c>
      <c r="F4075" t="str">
        <f>HYPERLINK("http://www.sec.gov/Archives/edgar/data/1437786/0001437786-16-000031-index.html")</f>
        <v>http://www.sec.gov/Archives/edgar/data/1437786/0001437786-16-000031-index.html</v>
      </c>
    </row>
    <row r="4076" spans="1:6" x14ac:dyDescent="0.2">
      <c r="A4076" t="s">
        <v>3654</v>
      </c>
      <c r="B4076" s="1">
        <v>1448431</v>
      </c>
      <c r="C4076" s="1">
        <v>7389</v>
      </c>
      <c r="D4076" s="2">
        <v>42444</v>
      </c>
      <c r="E4076" s="1" t="s">
        <v>18</v>
      </c>
      <c r="F4076" t="str">
        <f>HYPERLINK("http://www.sec.gov/Archives/edgar/data/1448431/0001213900-16-011609-index.html")</f>
        <v>http://www.sec.gov/Archives/edgar/data/1448431/0001213900-16-011609-index.html</v>
      </c>
    </row>
    <row r="4077" spans="1:6" x14ac:dyDescent="0.2">
      <c r="A4077" t="s">
        <v>3655</v>
      </c>
      <c r="B4077" s="1">
        <v>1454389</v>
      </c>
      <c r="C4077" s="1">
        <v>6162</v>
      </c>
      <c r="D4077" s="2">
        <v>42444</v>
      </c>
      <c r="E4077" s="1" t="s">
        <v>18</v>
      </c>
      <c r="F4077" t="str">
        <f>HYPERLINK("http://www.sec.gov/Archives/edgar/data/1454389/0001454389-16-000081-index.html")</f>
        <v>http://www.sec.gov/Archives/edgar/data/1454389/0001454389-16-000081-index.html</v>
      </c>
    </row>
    <row r="4078" spans="1:6" x14ac:dyDescent="0.2">
      <c r="A4078" t="s">
        <v>3656</v>
      </c>
      <c r="B4078" s="1">
        <v>1454789</v>
      </c>
      <c r="C4078" s="1">
        <v>2834</v>
      </c>
      <c r="D4078" s="2">
        <v>42444</v>
      </c>
      <c r="E4078" s="1" t="s">
        <v>18</v>
      </c>
      <c r="F4078" t="str">
        <f>HYPERLINK("http://www.sec.gov/Archives/edgar/data/1454789/0001047469-16-011175-index.html")</f>
        <v>http://www.sec.gov/Archives/edgar/data/1454789/0001047469-16-011175-index.html</v>
      </c>
    </row>
    <row r="4079" spans="1:6" x14ac:dyDescent="0.2">
      <c r="A4079" t="s">
        <v>3657</v>
      </c>
      <c r="B4079" s="1">
        <v>1462418</v>
      </c>
      <c r="C4079" s="1">
        <v>7380</v>
      </c>
      <c r="D4079" s="2">
        <v>42444</v>
      </c>
      <c r="E4079" s="1" t="s">
        <v>18</v>
      </c>
      <c r="F4079" t="str">
        <f>HYPERLINK("http://www.sec.gov/Archives/edgar/data/1462418/0001628280-16-012704-index.html")</f>
        <v>http://www.sec.gov/Archives/edgar/data/1462418/0001628280-16-012704-index.html</v>
      </c>
    </row>
    <row r="4080" spans="1:6" x14ac:dyDescent="0.2">
      <c r="A4080" t="s">
        <v>3658</v>
      </c>
      <c r="B4080" s="1">
        <v>1467761</v>
      </c>
      <c r="C4080" s="1">
        <v>3661</v>
      </c>
      <c r="D4080" s="2">
        <v>42444</v>
      </c>
      <c r="E4080" s="1" t="s">
        <v>18</v>
      </c>
      <c r="F4080" t="str">
        <f>HYPERLINK("http://www.sec.gov/Archives/edgar/data/1467761/0001354488-16-006596-index.html")</f>
        <v>http://www.sec.gov/Archives/edgar/data/1467761/0001354488-16-006596-index.html</v>
      </c>
    </row>
    <row r="4081" spans="1:6" x14ac:dyDescent="0.2">
      <c r="A4081" t="s">
        <v>3659</v>
      </c>
      <c r="B4081" s="1">
        <v>1471824</v>
      </c>
      <c r="C4081" s="1">
        <v>6221</v>
      </c>
      <c r="D4081" s="2">
        <v>42444</v>
      </c>
      <c r="E4081" s="1" t="s">
        <v>18</v>
      </c>
      <c r="F4081" t="str">
        <f>HYPERLINK("http://www.sec.gov/Archives/edgar/data/1471824/0000891092-16-013225-index.html")</f>
        <v>http://www.sec.gov/Archives/edgar/data/1471824/0000891092-16-013225-index.html</v>
      </c>
    </row>
    <row r="4082" spans="1:6" x14ac:dyDescent="0.2">
      <c r="A4082" t="s">
        <v>3660</v>
      </c>
      <c r="B4082" s="1">
        <v>1476264</v>
      </c>
      <c r="C4082" s="1">
        <v>6022</v>
      </c>
      <c r="D4082" s="2">
        <v>42444</v>
      </c>
      <c r="E4082" s="1" t="s">
        <v>18</v>
      </c>
      <c r="F4082" t="str">
        <f>HYPERLINK("http://www.sec.gov/Archives/edgar/data/1476264/0001476264-16-000130-index.html")</f>
        <v>http://www.sec.gov/Archives/edgar/data/1476264/0001476264-16-000130-index.html</v>
      </c>
    </row>
    <row r="4083" spans="1:6" x14ac:dyDescent="0.2">
      <c r="A4083" t="s">
        <v>3661</v>
      </c>
      <c r="B4083" s="1">
        <v>1478069</v>
      </c>
      <c r="C4083" s="1">
        <v>2834</v>
      </c>
      <c r="D4083" s="2">
        <v>42444</v>
      </c>
      <c r="E4083" s="1" t="s">
        <v>18</v>
      </c>
      <c r="F4083" t="str">
        <f>HYPERLINK("http://www.sec.gov/Archives/edgar/data/1478069/0001193125-16-505381-index.html")</f>
        <v>http://www.sec.gov/Archives/edgar/data/1478069/0001193125-16-505381-index.html</v>
      </c>
    </row>
    <row r="4084" spans="1:6" x14ac:dyDescent="0.2">
      <c r="A4084" t="s">
        <v>3662</v>
      </c>
      <c r="B4084" s="1">
        <v>1478454</v>
      </c>
      <c r="C4084" s="1">
        <v>6035</v>
      </c>
      <c r="D4084" s="2">
        <v>42444</v>
      </c>
      <c r="E4084" s="1" t="s">
        <v>18</v>
      </c>
      <c r="F4084" t="str">
        <f>HYPERLINK("http://www.sec.gov/Archives/edgar/data/1478454/0001157523-16-004924-index.html")</f>
        <v>http://www.sec.gov/Archives/edgar/data/1478454/0001157523-16-004924-index.html</v>
      </c>
    </row>
    <row r="4085" spans="1:6" x14ac:dyDescent="0.2">
      <c r="A4085" t="s">
        <v>3663</v>
      </c>
      <c r="B4085" s="1">
        <v>1478725</v>
      </c>
      <c r="C4085" s="1">
        <v>1381</v>
      </c>
      <c r="D4085" s="2">
        <v>42444</v>
      </c>
      <c r="E4085" s="1" t="s">
        <v>18</v>
      </c>
      <c r="F4085" t="str">
        <f>HYPERLINK("http://www.sec.gov/Archives/edgar/data/1478725/0001019687-16-005476-index.html")</f>
        <v>http://www.sec.gov/Archives/edgar/data/1478725/0001019687-16-005476-index.html</v>
      </c>
    </row>
    <row r="4086" spans="1:6" x14ac:dyDescent="0.2">
      <c r="A4086" t="s">
        <v>3664</v>
      </c>
      <c r="B4086" s="1">
        <v>1482199</v>
      </c>
      <c r="C4086" s="1">
        <v>5051</v>
      </c>
      <c r="D4086" s="2">
        <v>42444</v>
      </c>
      <c r="E4086" s="1" t="s">
        <v>18</v>
      </c>
      <c r="F4086" t="str">
        <f>HYPERLINK("http://www.sec.gov/Archives/edgar/data/1482199/0001482199-16-000022-index.html")</f>
        <v>http://www.sec.gov/Archives/edgar/data/1482199/0001482199-16-000022-index.html</v>
      </c>
    </row>
    <row r="4087" spans="1:6" x14ac:dyDescent="0.2">
      <c r="A4087" t="s">
        <v>1578</v>
      </c>
      <c r="B4087" s="1">
        <v>1486800</v>
      </c>
      <c r="C4087" s="1">
        <v>7389</v>
      </c>
      <c r="D4087" s="2">
        <v>42444</v>
      </c>
      <c r="E4087" s="1" t="s">
        <v>18</v>
      </c>
      <c r="F4087" t="str">
        <f>HYPERLINK("http://www.sec.gov/Archives/edgar/data/1486800/0001437749-16-027634-index.html")</f>
        <v>http://www.sec.gov/Archives/edgar/data/1486800/0001437749-16-027634-index.html</v>
      </c>
    </row>
    <row r="4088" spans="1:6" x14ac:dyDescent="0.2">
      <c r="A4088" t="s">
        <v>3665</v>
      </c>
      <c r="B4088" s="1">
        <v>1487101</v>
      </c>
      <c r="C4088" s="1">
        <v>7373</v>
      </c>
      <c r="D4088" s="2">
        <v>42444</v>
      </c>
      <c r="E4088" s="1" t="s">
        <v>18</v>
      </c>
      <c r="F4088" t="str">
        <f>HYPERLINK("http://www.sec.gov/Archives/edgar/data/1487101/0001487101-16-000061-index.html")</f>
        <v>http://www.sec.gov/Archives/edgar/data/1487101/0001487101-16-000061-index.html</v>
      </c>
    </row>
    <row r="4089" spans="1:6" x14ac:dyDescent="0.2">
      <c r="A4089" t="s">
        <v>3666</v>
      </c>
      <c r="B4089" s="1">
        <v>1487918</v>
      </c>
      <c r="C4089" s="1">
        <v>6770</v>
      </c>
      <c r="D4089" s="2">
        <v>42444</v>
      </c>
      <c r="E4089" s="1" t="s">
        <v>18</v>
      </c>
      <c r="F4089" t="str">
        <f>HYPERLINK("http://www.sec.gov/Archives/edgar/data/1487918/0001144204-16-088215-index.html")</f>
        <v>http://www.sec.gov/Archives/edgar/data/1487918/0001144204-16-088215-index.html</v>
      </c>
    </row>
    <row r="4090" spans="1:6" x14ac:dyDescent="0.2">
      <c r="A4090" t="s">
        <v>3667</v>
      </c>
      <c r="B4090" s="1">
        <v>1493225</v>
      </c>
      <c r="C4090" s="1">
        <v>6035</v>
      </c>
      <c r="D4090" s="2">
        <v>42444</v>
      </c>
      <c r="E4090" s="1" t="s">
        <v>18</v>
      </c>
      <c r="F4090" t="str">
        <f>HYPERLINK("http://www.sec.gov/Archives/edgar/data/1493225/0001493225-16-000147-index.html")</f>
        <v>http://www.sec.gov/Archives/edgar/data/1493225/0001493225-16-000147-index.html</v>
      </c>
    </row>
    <row r="4091" spans="1:6" x14ac:dyDescent="0.2">
      <c r="A4091" t="s">
        <v>3668</v>
      </c>
      <c r="B4091" s="1">
        <v>1495584</v>
      </c>
      <c r="C4091" s="1">
        <v>6035</v>
      </c>
      <c r="D4091" s="2">
        <v>42444</v>
      </c>
      <c r="E4091" s="1" t="s">
        <v>18</v>
      </c>
      <c r="F4091" t="str">
        <f>HYPERLINK("http://www.sec.gov/Archives/edgar/data/1495584/0001398344-16-011039-index.html")</f>
        <v>http://www.sec.gov/Archives/edgar/data/1495584/0001398344-16-011039-index.html</v>
      </c>
    </row>
    <row r="4092" spans="1:6" x14ac:dyDescent="0.2">
      <c r="A4092" t="s">
        <v>3528</v>
      </c>
      <c r="B4092" s="1">
        <v>1495932</v>
      </c>
      <c r="C4092" s="1">
        <v>7389</v>
      </c>
      <c r="D4092" s="2">
        <v>42444</v>
      </c>
      <c r="E4092" s="1" t="s">
        <v>42</v>
      </c>
      <c r="F4092" t="str">
        <f>HYPERLINK("http://www.sec.gov/Archives/edgar/data/1495932/0001019687-16-005468-index.html")</f>
        <v>http://www.sec.gov/Archives/edgar/data/1495932/0001019687-16-005468-index.html</v>
      </c>
    </row>
    <row r="4093" spans="1:6" x14ac:dyDescent="0.2">
      <c r="A4093" t="s">
        <v>3528</v>
      </c>
      <c r="B4093" s="1">
        <v>1495932</v>
      </c>
      <c r="C4093" s="1">
        <v>7389</v>
      </c>
      <c r="D4093" s="2">
        <v>42444</v>
      </c>
      <c r="E4093" s="1" t="s">
        <v>18</v>
      </c>
      <c r="F4093" t="str">
        <f>HYPERLINK("http://www.sec.gov/Archives/edgar/data/1495932/0001019687-16-005463-index.html")</f>
        <v>http://www.sec.gov/Archives/edgar/data/1495932/0001019687-16-005463-index.html</v>
      </c>
    </row>
    <row r="4094" spans="1:6" x14ac:dyDescent="0.2">
      <c r="A4094" t="s">
        <v>3669</v>
      </c>
      <c r="B4094" s="1">
        <v>1496671</v>
      </c>
      <c r="C4094" s="1">
        <v>2834</v>
      </c>
      <c r="D4094" s="2">
        <v>42444</v>
      </c>
      <c r="E4094" s="1" t="s">
        <v>18</v>
      </c>
      <c r="F4094" t="str">
        <f>HYPERLINK("http://www.sec.gov/Archives/edgar/data/1496671/0001564590-16-014785-index.html")</f>
        <v>http://www.sec.gov/Archives/edgar/data/1496671/0001564590-16-014785-index.html</v>
      </c>
    </row>
    <row r="4095" spans="1:6" x14ac:dyDescent="0.2">
      <c r="A4095" t="s">
        <v>3670</v>
      </c>
      <c r="B4095" s="1">
        <v>1501570</v>
      </c>
      <c r="C4095" s="1">
        <v>6022</v>
      </c>
      <c r="D4095" s="2">
        <v>42444</v>
      </c>
      <c r="E4095" s="1" t="s">
        <v>18</v>
      </c>
      <c r="F4095" t="str">
        <f>HYPERLINK("http://www.sec.gov/Archives/edgar/data/1501570/0001558370-16-004161-index.html")</f>
        <v>http://www.sec.gov/Archives/edgar/data/1501570/0001558370-16-004161-index.html</v>
      </c>
    </row>
    <row r="4096" spans="1:6" x14ac:dyDescent="0.2">
      <c r="A4096" t="s">
        <v>3671</v>
      </c>
      <c r="B4096" s="1">
        <v>1502292</v>
      </c>
      <c r="C4096" s="1">
        <v>6331</v>
      </c>
      <c r="D4096" s="2">
        <v>42444</v>
      </c>
      <c r="E4096" s="1" t="s">
        <v>18</v>
      </c>
      <c r="F4096" t="str">
        <f>HYPERLINK("http://www.sec.gov/Archives/edgar/data/1502292/0001502292-16-000019-index.html")</f>
        <v>http://www.sec.gov/Archives/edgar/data/1502292/0001502292-16-000019-index.html</v>
      </c>
    </row>
    <row r="4097" spans="1:6" x14ac:dyDescent="0.2">
      <c r="A4097" t="s">
        <v>3672</v>
      </c>
      <c r="B4097" s="1">
        <v>1503802</v>
      </c>
      <c r="C4097" s="1">
        <v>2834</v>
      </c>
      <c r="D4097" s="2">
        <v>42444</v>
      </c>
      <c r="E4097" s="1" t="s">
        <v>18</v>
      </c>
      <c r="F4097" t="str">
        <f>HYPERLINK("http://www.sec.gov/Archives/edgar/data/1503802/0001193125-16-505181-index.html")</f>
        <v>http://www.sec.gov/Archives/edgar/data/1503802/0001193125-16-505181-index.html</v>
      </c>
    </row>
    <row r="4098" spans="1:6" x14ac:dyDescent="0.2">
      <c r="A4098" t="s">
        <v>3673</v>
      </c>
      <c r="B4098" s="1">
        <v>1504747</v>
      </c>
      <c r="C4098" s="1">
        <v>2840</v>
      </c>
      <c r="D4098" s="2">
        <v>42444</v>
      </c>
      <c r="E4098" s="1" t="s">
        <v>18</v>
      </c>
      <c r="F4098" t="str">
        <f>HYPERLINK("http://www.sec.gov/Archives/edgar/data/1504747/0001354488-16-006587-index.html")</f>
        <v>http://www.sec.gov/Archives/edgar/data/1504747/0001354488-16-006587-index.html</v>
      </c>
    </row>
    <row r="4099" spans="1:6" x14ac:dyDescent="0.2">
      <c r="A4099" t="s">
        <v>3674</v>
      </c>
      <c r="B4099" s="1">
        <v>1505413</v>
      </c>
      <c r="C4099" s="1">
        <v>1311</v>
      </c>
      <c r="D4099" s="2">
        <v>42444</v>
      </c>
      <c r="E4099" s="1" t="s">
        <v>18</v>
      </c>
      <c r="F4099" t="str">
        <f>HYPERLINK("http://www.sec.gov/Archives/edgar/data/1505413/0001047469-16-011179-index.html")</f>
        <v>http://www.sec.gov/Archives/edgar/data/1505413/0001047469-16-011179-index.html</v>
      </c>
    </row>
    <row r="4100" spans="1:6" x14ac:dyDescent="0.2">
      <c r="A4100" t="s">
        <v>3675</v>
      </c>
      <c r="B4100" s="1">
        <v>1505732</v>
      </c>
      <c r="C4100" s="1">
        <v>6022</v>
      </c>
      <c r="D4100" s="2">
        <v>42444</v>
      </c>
      <c r="E4100" s="1" t="s">
        <v>18</v>
      </c>
      <c r="F4100" t="str">
        <f>HYPERLINK("http://www.sec.gov/Archives/edgar/data/1505732/0001571049-16-013033-index.html")</f>
        <v>http://www.sec.gov/Archives/edgar/data/1505732/0001571049-16-013033-index.html</v>
      </c>
    </row>
    <row r="4101" spans="1:6" x14ac:dyDescent="0.2">
      <c r="A4101" t="s">
        <v>3676</v>
      </c>
      <c r="B4101" s="1">
        <v>1506492</v>
      </c>
      <c r="C4101" s="1">
        <v>3845</v>
      </c>
      <c r="D4101" s="2">
        <v>42444</v>
      </c>
      <c r="E4101" s="1" t="s">
        <v>18</v>
      </c>
      <c r="F4101" t="str">
        <f>HYPERLINK("http://www.sec.gov/Archives/edgar/data/1506492/0001104659-16-105208-index.html")</f>
        <v>http://www.sec.gov/Archives/edgar/data/1506492/0001104659-16-105208-index.html</v>
      </c>
    </row>
    <row r="4102" spans="1:6" x14ac:dyDescent="0.2">
      <c r="A4102" t="s">
        <v>3677</v>
      </c>
      <c r="B4102" s="1">
        <v>1509190</v>
      </c>
      <c r="C4102" s="1">
        <v>2834</v>
      </c>
      <c r="D4102" s="2">
        <v>42444</v>
      </c>
      <c r="E4102" s="1" t="s">
        <v>18</v>
      </c>
      <c r="F4102" t="str">
        <f>HYPERLINK("http://www.sec.gov/Archives/edgar/data/1509190/0001509190-16-000061-index.html")</f>
        <v>http://www.sec.gov/Archives/edgar/data/1509190/0001509190-16-000061-index.html</v>
      </c>
    </row>
    <row r="4103" spans="1:6" x14ac:dyDescent="0.2">
      <c r="A4103" t="s">
        <v>3678</v>
      </c>
      <c r="B4103" s="1">
        <v>1509470</v>
      </c>
      <c r="C4103" s="1">
        <v>2834</v>
      </c>
      <c r="D4103" s="2">
        <v>42444</v>
      </c>
      <c r="E4103" s="1" t="s">
        <v>18</v>
      </c>
      <c r="F4103" t="str">
        <f>HYPERLINK("http://www.sec.gov/Archives/edgar/data/1509470/0001144204-16-088256-index.html")</f>
        <v>http://www.sec.gov/Archives/edgar/data/1509470/0001144204-16-088256-index.html</v>
      </c>
    </row>
    <row r="4104" spans="1:6" x14ac:dyDescent="0.2">
      <c r="A4104" t="s">
        <v>850</v>
      </c>
      <c r="B4104" s="1">
        <v>1510832</v>
      </c>
      <c r="C4104" s="1">
        <v>100</v>
      </c>
      <c r="D4104" s="2">
        <v>42444</v>
      </c>
      <c r="E4104" s="1" t="s">
        <v>18</v>
      </c>
      <c r="F4104" t="str">
        <f>HYPERLINK("http://www.sec.gov/Archives/edgar/data/1510832/0001493152-16-008063-index.html")</f>
        <v>http://www.sec.gov/Archives/edgar/data/1510832/0001493152-16-008063-index.html</v>
      </c>
    </row>
    <row r="4105" spans="1:6" x14ac:dyDescent="0.2">
      <c r="A4105" t="s">
        <v>3679</v>
      </c>
      <c r="B4105" s="1">
        <v>1514732</v>
      </c>
      <c r="C4105" s="1">
        <v>1382</v>
      </c>
      <c r="D4105" s="2">
        <v>42444</v>
      </c>
      <c r="E4105" s="1" t="s">
        <v>18</v>
      </c>
      <c r="F4105" t="str">
        <f>HYPERLINK("http://www.sec.gov/Archives/edgar/data/1514732/0001514732-16-000144-index.html")</f>
        <v>http://www.sec.gov/Archives/edgar/data/1514732/0001514732-16-000144-index.html</v>
      </c>
    </row>
    <row r="4106" spans="1:6" x14ac:dyDescent="0.2">
      <c r="A4106" t="s">
        <v>3680</v>
      </c>
      <c r="B4106" s="1">
        <v>1522327</v>
      </c>
      <c r="C4106" s="1">
        <v>6036</v>
      </c>
      <c r="D4106" s="2">
        <v>42444</v>
      </c>
      <c r="E4106" s="1" t="s">
        <v>18</v>
      </c>
      <c r="F4106" t="str">
        <f>HYPERLINK("http://www.sec.gov/Archives/edgar/data/1522327/0001552781-16-001405-index.html")</f>
        <v>http://www.sec.gov/Archives/edgar/data/1522327/0001552781-16-001405-index.html</v>
      </c>
    </row>
    <row r="4107" spans="1:6" x14ac:dyDescent="0.2">
      <c r="A4107" t="s">
        <v>3681</v>
      </c>
      <c r="B4107" s="1">
        <v>1525998</v>
      </c>
      <c r="C4107" s="1">
        <v>2870</v>
      </c>
      <c r="D4107" s="2">
        <v>42444</v>
      </c>
      <c r="E4107" s="1" t="s">
        <v>18</v>
      </c>
      <c r="F4107" t="str">
        <f>HYPERLINK("http://www.sec.gov/Archives/edgar/data/1525998/0001564590-16-014830-index.html")</f>
        <v>http://www.sec.gov/Archives/edgar/data/1525998/0001564590-16-014830-index.html</v>
      </c>
    </row>
    <row r="4108" spans="1:6" x14ac:dyDescent="0.2">
      <c r="A4108" t="s">
        <v>3682</v>
      </c>
      <c r="B4108" s="1">
        <v>1528356</v>
      </c>
      <c r="C4108" s="1">
        <v>4931</v>
      </c>
      <c r="D4108" s="2">
        <v>42444</v>
      </c>
      <c r="E4108" s="1" t="s">
        <v>18</v>
      </c>
      <c r="F4108" t="str">
        <f>HYPERLINK("http://www.sec.gov/Archives/edgar/data/1528356/0001213900-16-011620-index.html")</f>
        <v>http://www.sec.gov/Archives/edgar/data/1528356/0001213900-16-011620-index.html</v>
      </c>
    </row>
    <row r="4109" spans="1:6" x14ac:dyDescent="0.2">
      <c r="A4109" t="s">
        <v>3683</v>
      </c>
      <c r="B4109" s="1">
        <v>1528985</v>
      </c>
      <c r="C4109" s="1">
        <v>6798</v>
      </c>
      <c r="D4109" s="2">
        <v>42444</v>
      </c>
      <c r="E4109" s="1" t="s">
        <v>18</v>
      </c>
      <c r="F4109" t="str">
        <f>HYPERLINK("http://www.sec.gov/Archives/edgar/data/1528985/0001564590-16-014805-index.html")</f>
        <v>http://www.sec.gov/Archives/edgar/data/1528985/0001564590-16-014805-index.html</v>
      </c>
    </row>
    <row r="4110" spans="1:6" x14ac:dyDescent="0.2">
      <c r="A4110" t="s">
        <v>3684</v>
      </c>
      <c r="B4110" s="1">
        <v>1534287</v>
      </c>
      <c r="C4110" s="1">
        <v>2860</v>
      </c>
      <c r="D4110" s="2">
        <v>42444</v>
      </c>
      <c r="E4110" s="1" t="s">
        <v>18</v>
      </c>
      <c r="F4110" t="str">
        <f>HYPERLINK("http://www.sec.gov/Archives/edgar/data/1534287/0001564590-16-014867-index.html")</f>
        <v>http://www.sec.gov/Archives/edgar/data/1534287/0001564590-16-014867-index.html</v>
      </c>
    </row>
    <row r="4111" spans="1:6" x14ac:dyDescent="0.2">
      <c r="A4111" t="s">
        <v>3685</v>
      </c>
      <c r="B4111" s="1">
        <v>1540729</v>
      </c>
      <c r="C4111" s="1">
        <v>1220</v>
      </c>
      <c r="D4111" s="2">
        <v>42444</v>
      </c>
      <c r="E4111" s="1" t="s">
        <v>18</v>
      </c>
      <c r="F4111" t="str">
        <f>HYPERLINK("http://www.sec.gov/Archives/edgar/data/1540729/0001564590-16-014778-index.html")</f>
        <v>http://www.sec.gov/Archives/edgar/data/1540729/0001564590-16-014778-index.html</v>
      </c>
    </row>
    <row r="4112" spans="1:6" x14ac:dyDescent="0.2">
      <c r="A4112" t="s">
        <v>3686</v>
      </c>
      <c r="B4112" s="1">
        <v>1549756</v>
      </c>
      <c r="C4112" s="1">
        <v>1311</v>
      </c>
      <c r="D4112" s="2">
        <v>42444</v>
      </c>
      <c r="E4112" s="1" t="s">
        <v>18</v>
      </c>
      <c r="F4112" t="str">
        <f>HYPERLINK("http://www.sec.gov/Archives/edgar/data/1549756/0001549756-16-000034-index.html")</f>
        <v>http://www.sec.gov/Archives/edgar/data/1549756/0001549756-16-000034-index.html</v>
      </c>
    </row>
    <row r="4113" spans="1:6" x14ac:dyDescent="0.2">
      <c r="A4113" t="s">
        <v>3687</v>
      </c>
      <c r="B4113" s="1">
        <v>1550695</v>
      </c>
      <c r="C4113" s="1">
        <v>7380</v>
      </c>
      <c r="D4113" s="2">
        <v>42444</v>
      </c>
      <c r="E4113" s="1" t="s">
        <v>18</v>
      </c>
      <c r="F4113" t="str">
        <f>HYPERLINK("http://www.sec.gov/Archives/edgar/data/1550695/0001550695-16-000050-index.html")</f>
        <v>http://www.sec.gov/Archives/edgar/data/1550695/0001550695-16-000050-index.html</v>
      </c>
    </row>
    <row r="4114" spans="1:6" x14ac:dyDescent="0.2">
      <c r="A4114" t="s">
        <v>3688</v>
      </c>
      <c r="B4114" s="1">
        <v>1552198</v>
      </c>
      <c r="C4114" s="1">
        <v>7990</v>
      </c>
      <c r="D4114" s="2">
        <v>42444</v>
      </c>
      <c r="E4114" s="1" t="s">
        <v>18</v>
      </c>
      <c r="F4114" t="str">
        <f>HYPERLINK("http://www.sec.gov/Archives/edgar/data/1552198/0001144204-16-088188-index.html")</f>
        <v>http://www.sec.gov/Archives/edgar/data/1552198/0001144204-16-088188-index.html</v>
      </c>
    </row>
    <row r="4115" spans="1:6" x14ac:dyDescent="0.2">
      <c r="A4115" t="s">
        <v>3689</v>
      </c>
      <c r="B4115" s="1">
        <v>1557424</v>
      </c>
      <c r="C4115" s="1">
        <v>6798</v>
      </c>
      <c r="D4115" s="2">
        <v>42444</v>
      </c>
      <c r="E4115" s="1" t="s">
        <v>18</v>
      </c>
      <c r="F4115" t="str">
        <f>HYPERLINK("http://www.sec.gov/Archives/edgar/data/1557424/0001557424-16-000024-index.html")</f>
        <v>http://www.sec.gov/Archives/edgar/data/1557424/0001557424-16-000024-index.html</v>
      </c>
    </row>
    <row r="4116" spans="1:6" x14ac:dyDescent="0.2">
      <c r="A4116" t="s">
        <v>3690</v>
      </c>
      <c r="B4116" s="1">
        <v>1558235</v>
      </c>
      <c r="C4116" s="1">
        <v>6798</v>
      </c>
      <c r="D4116" s="2">
        <v>42444</v>
      </c>
      <c r="E4116" s="1" t="s">
        <v>18</v>
      </c>
      <c r="F4116" t="str">
        <f>HYPERLINK("http://www.sec.gov/Archives/edgar/data/1558235/0001558235-16-000041-index.html")</f>
        <v>http://www.sec.gov/Archives/edgar/data/1558235/0001558235-16-000041-index.html</v>
      </c>
    </row>
    <row r="4117" spans="1:6" x14ac:dyDescent="0.2">
      <c r="A4117" t="s">
        <v>3691</v>
      </c>
      <c r="B4117" s="1">
        <v>1559909</v>
      </c>
      <c r="C4117" s="1">
        <v>6798</v>
      </c>
      <c r="D4117" s="2">
        <v>42444</v>
      </c>
      <c r="E4117" s="1" t="s">
        <v>18</v>
      </c>
      <c r="F4117" t="str">
        <f>HYPERLINK("http://www.sec.gov/Archives/edgar/data/1559909/0001559909-16-000068-index.html")</f>
        <v>http://www.sec.gov/Archives/edgar/data/1559909/0001559909-16-000068-index.html</v>
      </c>
    </row>
    <row r="4118" spans="1:6" x14ac:dyDescent="0.2">
      <c r="A4118" t="s">
        <v>3692</v>
      </c>
      <c r="B4118" s="1">
        <v>1562151</v>
      </c>
      <c r="C4118" s="1">
        <v>2080</v>
      </c>
      <c r="D4118" s="2">
        <v>42444</v>
      </c>
      <c r="E4118" s="1" t="s">
        <v>18</v>
      </c>
      <c r="F4118" t="str">
        <f>HYPERLINK("http://www.sec.gov/Archives/edgar/data/1562151/0001562151-16-000111-index.html")</f>
        <v>http://www.sec.gov/Archives/edgar/data/1562151/0001562151-16-000111-index.html</v>
      </c>
    </row>
    <row r="4119" spans="1:6" x14ac:dyDescent="0.2">
      <c r="A4119" t="s">
        <v>3693</v>
      </c>
      <c r="B4119" s="1">
        <v>1563407</v>
      </c>
      <c r="C4119" s="1">
        <v>5411</v>
      </c>
      <c r="D4119" s="2">
        <v>42444</v>
      </c>
      <c r="E4119" s="1" t="s">
        <v>18</v>
      </c>
      <c r="F4119" t="str">
        <f>HYPERLINK("http://www.sec.gov/Archives/edgar/data/1563407/0001047469-16-011125-index.html")</f>
        <v>http://www.sec.gov/Archives/edgar/data/1563407/0001047469-16-011125-index.html</v>
      </c>
    </row>
    <row r="4120" spans="1:6" x14ac:dyDescent="0.2">
      <c r="A4120" t="s">
        <v>3694</v>
      </c>
      <c r="B4120" s="1">
        <v>1563756</v>
      </c>
      <c r="C4120" s="1">
        <v>6798</v>
      </c>
      <c r="D4120" s="2">
        <v>42444</v>
      </c>
      <c r="E4120" s="1" t="s">
        <v>18</v>
      </c>
      <c r="F4120" t="str">
        <f>HYPERLINK("http://www.sec.gov/Archives/edgar/data/1563756/0001144204-16-088174-index.html")</f>
        <v>http://www.sec.gov/Archives/edgar/data/1563756/0001144204-16-088174-index.html</v>
      </c>
    </row>
    <row r="4121" spans="1:6" x14ac:dyDescent="0.2">
      <c r="A4121" t="s">
        <v>3695</v>
      </c>
      <c r="B4121" s="1">
        <v>1571776</v>
      </c>
      <c r="C4121" s="1">
        <v>6798</v>
      </c>
      <c r="D4121" s="2">
        <v>42444</v>
      </c>
      <c r="E4121" s="1" t="s">
        <v>18</v>
      </c>
      <c r="F4121" t="str">
        <f>HYPERLINK("http://www.sec.gov/Archives/edgar/data/1571776/0001567619-16-002020-index.html")</f>
        <v>http://www.sec.gov/Archives/edgar/data/1571776/0001567619-16-002020-index.html</v>
      </c>
    </row>
    <row r="4122" spans="1:6" x14ac:dyDescent="0.2">
      <c r="A4122" t="s">
        <v>3696</v>
      </c>
      <c r="B4122" s="1">
        <v>1574085</v>
      </c>
      <c r="C4122" s="1">
        <v>6798</v>
      </c>
      <c r="D4122" s="2">
        <v>42444</v>
      </c>
      <c r="E4122" s="1" t="s">
        <v>18</v>
      </c>
      <c r="F4122" t="str">
        <f>HYPERLINK("http://www.sec.gov/Archives/edgar/data/1574085/0001574085-16-000151-index.html")</f>
        <v>http://www.sec.gov/Archives/edgar/data/1574085/0001574085-16-000151-index.html</v>
      </c>
    </row>
    <row r="4123" spans="1:6" x14ac:dyDescent="0.2">
      <c r="A4123" t="s">
        <v>3697</v>
      </c>
      <c r="B4123" s="1">
        <v>1574815</v>
      </c>
      <c r="C4123" s="1">
        <v>5211</v>
      </c>
      <c r="D4123" s="2">
        <v>42444</v>
      </c>
      <c r="E4123" s="1" t="s">
        <v>18</v>
      </c>
      <c r="F4123" t="str">
        <f>HYPERLINK("http://www.sec.gov/Archives/edgar/data/1574815/0001574815-16-000120-index.html")</f>
        <v>http://www.sec.gov/Archives/edgar/data/1574815/0001574815-16-000120-index.html</v>
      </c>
    </row>
    <row r="4124" spans="1:6" x14ac:dyDescent="0.2">
      <c r="A4124" t="s">
        <v>3698</v>
      </c>
      <c r="B4124" s="1">
        <v>1575793</v>
      </c>
      <c r="C4124" s="1">
        <v>3663</v>
      </c>
      <c r="D4124" s="2">
        <v>42444</v>
      </c>
      <c r="E4124" s="1" t="s">
        <v>18</v>
      </c>
      <c r="F4124" t="str">
        <f>HYPERLINK("http://www.sec.gov/Archives/edgar/data/1575793/0001144204-16-088198-index.html")</f>
        <v>http://www.sec.gov/Archives/edgar/data/1575793/0001144204-16-088198-index.html</v>
      </c>
    </row>
    <row r="4125" spans="1:6" x14ac:dyDescent="0.2">
      <c r="A4125" t="s">
        <v>3699</v>
      </c>
      <c r="B4125" s="1">
        <v>1578732</v>
      </c>
      <c r="C4125" s="1">
        <v>6531</v>
      </c>
      <c r="D4125" s="2">
        <v>42444</v>
      </c>
      <c r="E4125" s="1" t="s">
        <v>18</v>
      </c>
      <c r="F4125" t="str">
        <f>HYPERLINK("http://www.sec.gov/Archives/edgar/data/1578732/0001193125-16-504193-index.html")</f>
        <v>http://www.sec.gov/Archives/edgar/data/1578732/0001193125-16-504193-index.html</v>
      </c>
    </row>
    <row r="4126" spans="1:6" x14ac:dyDescent="0.2">
      <c r="A4126" t="s">
        <v>3700</v>
      </c>
      <c r="B4126" s="1">
        <v>1579298</v>
      </c>
      <c r="C4126" s="1">
        <v>5311</v>
      </c>
      <c r="D4126" s="2">
        <v>42444</v>
      </c>
      <c r="E4126" s="1" t="s">
        <v>18</v>
      </c>
      <c r="F4126" t="str">
        <f>HYPERLINK("http://www.sec.gov/Archives/edgar/data/1579298/0001564590-16-014854-index.html")</f>
        <v>http://www.sec.gov/Archives/edgar/data/1579298/0001564590-16-014854-index.html</v>
      </c>
    </row>
    <row r="4127" spans="1:6" x14ac:dyDescent="0.2">
      <c r="A4127" t="s">
        <v>3701</v>
      </c>
      <c r="B4127" s="1">
        <v>1581720</v>
      </c>
      <c r="C4127" s="1">
        <v>2834</v>
      </c>
      <c r="D4127" s="2">
        <v>42444</v>
      </c>
      <c r="E4127" s="1" t="s">
        <v>18</v>
      </c>
      <c r="F4127" t="str">
        <f>HYPERLINK("http://www.sec.gov/Archives/edgar/data/1581720/0001104659-16-105213-index.html")</f>
        <v>http://www.sec.gov/Archives/edgar/data/1581720/0001104659-16-105213-index.html</v>
      </c>
    </row>
    <row r="4128" spans="1:6" x14ac:dyDescent="0.2">
      <c r="A4128" t="s">
        <v>3702</v>
      </c>
      <c r="B4128" s="1">
        <v>1581934</v>
      </c>
      <c r="C4128" s="1">
        <v>2834</v>
      </c>
      <c r="D4128" s="2">
        <v>42444</v>
      </c>
      <c r="E4128" s="1" t="s">
        <v>18</v>
      </c>
      <c r="F4128" t="str">
        <f>HYPERLINK("http://www.sec.gov/Archives/edgar/data/1581934/0001581934-16-000063-index.html")</f>
        <v>http://www.sec.gov/Archives/edgar/data/1581934/0001581934-16-000063-index.html</v>
      </c>
    </row>
    <row r="4129" spans="1:6" x14ac:dyDescent="0.2">
      <c r="A4129" t="s">
        <v>3703</v>
      </c>
      <c r="B4129" s="1">
        <v>1585023</v>
      </c>
      <c r="C4129" s="1">
        <v>6035</v>
      </c>
      <c r="D4129" s="2">
        <v>42444</v>
      </c>
      <c r="E4129" s="1" t="s">
        <v>18</v>
      </c>
      <c r="F4129" t="str">
        <f>HYPERLINK("http://www.sec.gov/Archives/edgar/data/1585023/0001047469-16-011176-index.html")</f>
        <v>http://www.sec.gov/Archives/edgar/data/1585023/0001047469-16-011176-index.html</v>
      </c>
    </row>
    <row r="4130" spans="1:6" x14ac:dyDescent="0.2">
      <c r="A4130" t="s">
        <v>3704</v>
      </c>
      <c r="B4130" s="1">
        <v>1587987</v>
      </c>
      <c r="C4130" s="1">
        <v>3651</v>
      </c>
      <c r="D4130" s="2">
        <v>42444</v>
      </c>
      <c r="E4130" s="1" t="s">
        <v>18</v>
      </c>
      <c r="F4130" t="str">
        <f>HYPERLINK("http://www.sec.gov/Archives/edgar/data/1587987/0001587987-16-000068-index.html")</f>
        <v>http://www.sec.gov/Archives/edgar/data/1587987/0001587987-16-000068-index.html</v>
      </c>
    </row>
    <row r="4131" spans="1:6" x14ac:dyDescent="0.2">
      <c r="A4131" t="s">
        <v>3705</v>
      </c>
      <c r="B4131" s="1">
        <v>1590895</v>
      </c>
      <c r="C4131" s="1">
        <v>7011</v>
      </c>
      <c r="D4131" s="2">
        <v>42444</v>
      </c>
      <c r="E4131" s="1" t="s">
        <v>18</v>
      </c>
      <c r="F4131" t="str">
        <f>HYPERLINK("http://www.sec.gov/Archives/edgar/data/1590895/0001558370-16-004151-index.html")</f>
        <v>http://www.sec.gov/Archives/edgar/data/1590895/0001558370-16-004151-index.html</v>
      </c>
    </row>
    <row r="4132" spans="1:6" x14ac:dyDescent="0.2">
      <c r="A4132" t="s">
        <v>3706</v>
      </c>
      <c r="B4132" s="1">
        <v>1591670</v>
      </c>
      <c r="C4132" s="1">
        <v>6798</v>
      </c>
      <c r="D4132" s="2">
        <v>42444</v>
      </c>
      <c r="E4132" s="1" t="s">
        <v>18</v>
      </c>
      <c r="F4132" t="str">
        <f>HYPERLINK("http://www.sec.gov/Archives/edgar/data/1591670/0001558370-16-004168-index.html")</f>
        <v>http://www.sec.gov/Archives/edgar/data/1591670/0001558370-16-004168-index.html</v>
      </c>
    </row>
    <row r="4133" spans="1:6" x14ac:dyDescent="0.2">
      <c r="A4133" t="s">
        <v>3707</v>
      </c>
      <c r="B4133" s="1">
        <v>1599489</v>
      </c>
      <c r="C4133" s="1">
        <v>5110</v>
      </c>
      <c r="D4133" s="2">
        <v>42444</v>
      </c>
      <c r="E4133" s="1" t="s">
        <v>18</v>
      </c>
      <c r="F4133" t="str">
        <f>HYPERLINK("http://www.sec.gov/Archives/edgar/data/1599489/0001599489-16-000035-index.html")</f>
        <v>http://www.sec.gov/Archives/edgar/data/1599489/0001599489-16-000035-index.html</v>
      </c>
    </row>
    <row r="4134" spans="1:6" x14ac:dyDescent="0.2">
      <c r="A4134" t="s">
        <v>3708</v>
      </c>
      <c r="B4134" s="1">
        <v>1601548</v>
      </c>
      <c r="C4134" s="1">
        <v>8744</v>
      </c>
      <c r="D4134" s="2">
        <v>42444</v>
      </c>
      <c r="E4134" s="1" t="s">
        <v>18</v>
      </c>
      <c r="F4134" t="str">
        <f>HYPERLINK("http://www.sec.gov/Archives/edgar/data/1601548/0001601548-16-000082-index.html")</f>
        <v>http://www.sec.gov/Archives/edgar/data/1601548/0001601548-16-000082-index.html</v>
      </c>
    </row>
    <row r="4135" spans="1:6" x14ac:dyDescent="0.2">
      <c r="A4135" t="s">
        <v>3709</v>
      </c>
      <c r="B4135" s="1">
        <v>1604738</v>
      </c>
      <c r="C4135" s="1">
        <v>8742</v>
      </c>
      <c r="D4135" s="2">
        <v>42444</v>
      </c>
      <c r="E4135" s="1" t="s">
        <v>18</v>
      </c>
      <c r="F4135" t="str">
        <f>HYPERLINK("http://www.sec.gov/Archives/edgar/data/1604738/0001604738-16-000104-index.html")</f>
        <v>http://www.sec.gov/Archives/edgar/data/1604738/0001604738-16-000104-index.html</v>
      </c>
    </row>
    <row r="4136" spans="1:6" x14ac:dyDescent="0.2">
      <c r="A4136" t="s">
        <v>3710</v>
      </c>
      <c r="B4136" s="1">
        <v>1605481</v>
      </c>
      <c r="C4136" s="1">
        <v>8742</v>
      </c>
      <c r="D4136" s="2">
        <v>42444</v>
      </c>
      <c r="E4136" s="1" t="s">
        <v>18</v>
      </c>
      <c r="F4136" t="str">
        <f>HYPERLINK("http://www.sec.gov/Archives/edgar/data/1605481/0001493152-16-008059-index.html")</f>
        <v>http://www.sec.gov/Archives/edgar/data/1605481/0001493152-16-008059-index.html</v>
      </c>
    </row>
    <row r="4137" spans="1:6" x14ac:dyDescent="0.2">
      <c r="A4137" t="s">
        <v>3711</v>
      </c>
      <c r="B4137" s="1">
        <v>1607716</v>
      </c>
      <c r="C4137" s="1">
        <v>3433</v>
      </c>
      <c r="D4137" s="2">
        <v>42444</v>
      </c>
      <c r="E4137" s="1" t="s">
        <v>18</v>
      </c>
      <c r="F4137" t="str">
        <f>HYPERLINK("http://www.sec.gov/Archives/edgar/data/1607716/0001564590-16-014741-index.html")</f>
        <v>http://www.sec.gov/Archives/edgar/data/1607716/0001564590-16-014741-index.html</v>
      </c>
    </row>
    <row r="4138" spans="1:6" x14ac:dyDescent="0.2">
      <c r="A4138" t="s">
        <v>3712</v>
      </c>
      <c r="B4138" s="1">
        <v>1610532</v>
      </c>
      <c r="C4138" s="1">
        <v>7372</v>
      </c>
      <c r="D4138" s="2">
        <v>42444</v>
      </c>
      <c r="E4138" s="1" t="s">
        <v>18</v>
      </c>
      <c r="F4138" t="str">
        <f>HYPERLINK("http://www.sec.gov/Archives/edgar/data/1610532/0001193125-16-505199-index.html")</f>
        <v>http://www.sec.gov/Archives/edgar/data/1610532/0001193125-16-505199-index.html</v>
      </c>
    </row>
    <row r="4139" spans="1:6" x14ac:dyDescent="0.2">
      <c r="A4139" t="s">
        <v>3713</v>
      </c>
      <c r="B4139" s="1">
        <v>1611702</v>
      </c>
      <c r="C4139" s="1">
        <v>6282</v>
      </c>
      <c r="D4139" s="2">
        <v>42444</v>
      </c>
      <c r="E4139" s="1" t="s">
        <v>18</v>
      </c>
      <c r="F4139" t="str">
        <f>HYPERLINK("http://www.sec.gov/Archives/edgar/data/1611702/0001611702-16-000119-index.html")</f>
        <v>http://www.sec.gov/Archives/edgar/data/1611702/0001611702-16-000119-index.html</v>
      </c>
    </row>
    <row r="4140" spans="1:6" x14ac:dyDescent="0.2">
      <c r="A4140" t="s">
        <v>3714</v>
      </c>
      <c r="B4140" s="1">
        <v>1615063</v>
      </c>
      <c r="C4140" s="1">
        <v>6770</v>
      </c>
      <c r="D4140" s="2">
        <v>42444</v>
      </c>
      <c r="E4140" s="1" t="s">
        <v>18</v>
      </c>
      <c r="F4140" t="str">
        <f>HYPERLINK("http://www.sec.gov/Archives/edgar/data/1615063/0001144204-16-088189-index.html")</f>
        <v>http://www.sec.gov/Archives/edgar/data/1615063/0001144204-16-088189-index.html</v>
      </c>
    </row>
    <row r="4141" spans="1:6" x14ac:dyDescent="0.2">
      <c r="A4141" t="s">
        <v>3715</v>
      </c>
      <c r="B4141" s="1">
        <v>1619312</v>
      </c>
      <c r="C4141" s="1">
        <v>6798</v>
      </c>
      <c r="D4141" s="2">
        <v>42444</v>
      </c>
      <c r="E4141" s="1" t="s">
        <v>18</v>
      </c>
      <c r="F4141" t="str">
        <f>HYPERLINK("http://www.sec.gov/Archives/edgar/data/1619312/0001144204-16-088176-index.html")</f>
        <v>http://www.sec.gov/Archives/edgar/data/1619312/0001144204-16-088176-index.html</v>
      </c>
    </row>
    <row r="4142" spans="1:6" x14ac:dyDescent="0.2">
      <c r="A4142" t="s">
        <v>1000</v>
      </c>
      <c r="B4142" s="1">
        <v>1625042</v>
      </c>
      <c r="C4142" s="1">
        <v>6770</v>
      </c>
      <c r="D4142" s="2">
        <v>42444</v>
      </c>
      <c r="E4142" s="1" t="s">
        <v>18</v>
      </c>
      <c r="F4142" t="str">
        <f>HYPERLINK("http://www.sec.gov/Archives/edgar/data/1625042/0001213900-16-011618-index.html")</f>
        <v>http://www.sec.gov/Archives/edgar/data/1625042/0001213900-16-011618-index.html</v>
      </c>
    </row>
    <row r="4143" spans="1:6" x14ac:dyDescent="0.2">
      <c r="A4143" t="s">
        <v>3716</v>
      </c>
      <c r="B4143" s="1">
        <v>1642862</v>
      </c>
      <c r="C4143" s="1">
        <v>2844</v>
      </c>
      <c r="D4143" s="2">
        <v>42444</v>
      </c>
      <c r="E4143" s="1" t="s">
        <v>18</v>
      </c>
      <c r="F4143" t="str">
        <f>HYPERLINK("http://www.sec.gov/Archives/edgar/data/1642862/0001642862-16-000012-index.html")</f>
        <v>http://www.sec.gov/Archives/edgar/data/1642862/0001642862-16-000012-index.html</v>
      </c>
    </row>
    <row r="4144" spans="1:6" x14ac:dyDescent="0.2">
      <c r="A4144" t="s">
        <v>3717</v>
      </c>
      <c r="B4144" s="1">
        <v>1660719</v>
      </c>
      <c r="C4144" s="1">
        <v>2834</v>
      </c>
      <c r="D4144" s="2">
        <v>42444</v>
      </c>
      <c r="E4144" s="1" t="s">
        <v>18</v>
      </c>
      <c r="F4144" t="str">
        <f>HYPERLINK("http://www.sec.gov/Archives/edgar/data/1660719/0001140361-16-057746-index.html")</f>
        <v>http://www.sec.gov/Archives/edgar/data/1660719/0001140361-16-057746-index.html</v>
      </c>
    </row>
    <row r="4145" spans="1:6" x14ac:dyDescent="0.2">
      <c r="A4145" t="s">
        <v>3540</v>
      </c>
      <c r="B4145" s="1">
        <v>18172</v>
      </c>
      <c r="C4145" s="1">
        <v>5051</v>
      </c>
      <c r="D4145" s="2">
        <v>42444</v>
      </c>
      <c r="E4145" s="1" t="s">
        <v>18</v>
      </c>
      <c r="F4145" t="str">
        <f>HYPERLINK("http://www.sec.gov/Archives/edgar/data/18172/0000018172-16-000067-index.html")</f>
        <v>http://www.sec.gov/Archives/edgar/data/18172/0000018172-16-000067-index.html</v>
      </c>
    </row>
    <row r="4146" spans="1:6" x14ac:dyDescent="0.2">
      <c r="A4146" t="s">
        <v>3718</v>
      </c>
      <c r="B4146" s="1">
        <v>202947</v>
      </c>
      <c r="C4146" s="1">
        <v>6519</v>
      </c>
      <c r="D4146" s="2">
        <v>42444</v>
      </c>
      <c r="E4146" s="1" t="s">
        <v>18</v>
      </c>
      <c r="F4146" t="str">
        <f>HYPERLINK("http://www.sec.gov/Archives/edgar/data/202947/0001193125-16-505226-index.html")</f>
        <v>http://www.sec.gov/Archives/edgar/data/202947/0001193125-16-505226-index.html</v>
      </c>
    </row>
    <row r="4147" spans="1:6" x14ac:dyDescent="0.2">
      <c r="A4147" t="s">
        <v>3719</v>
      </c>
      <c r="B4147" s="1">
        <v>31107</v>
      </c>
      <c r="C4147" s="1">
        <v>3420</v>
      </c>
      <c r="D4147" s="2">
        <v>42444</v>
      </c>
      <c r="E4147" s="1" t="s">
        <v>18</v>
      </c>
      <c r="F4147" t="str">
        <f>HYPERLINK("http://www.sec.gov/Archives/edgar/data/31107/0000031107-16-000060-index.html")</f>
        <v>http://www.sec.gov/Archives/edgar/data/31107/0000031107-16-000060-index.html</v>
      </c>
    </row>
    <row r="4148" spans="1:6" x14ac:dyDescent="0.2">
      <c r="A4148" t="s">
        <v>2063</v>
      </c>
      <c r="B4148" s="1">
        <v>31235</v>
      </c>
      <c r="C4148" s="1">
        <v>3861</v>
      </c>
      <c r="D4148" s="2">
        <v>42444</v>
      </c>
      <c r="E4148" s="1" t="s">
        <v>18</v>
      </c>
      <c r="F4148" t="str">
        <f>HYPERLINK("http://www.sec.gov/Archives/edgar/data/31235/0001193125-16-505191-index.html")</f>
        <v>http://www.sec.gov/Archives/edgar/data/31235/0001193125-16-505191-index.html</v>
      </c>
    </row>
    <row r="4149" spans="1:6" x14ac:dyDescent="0.2">
      <c r="A4149" t="s">
        <v>3720</v>
      </c>
      <c r="B4149" s="1">
        <v>315858</v>
      </c>
      <c r="C4149" s="1">
        <v>6035</v>
      </c>
      <c r="D4149" s="2">
        <v>42444</v>
      </c>
      <c r="E4149" s="1" t="s">
        <v>18</v>
      </c>
      <c r="F4149" t="str">
        <f>HYPERLINK("http://www.sec.gov/Archives/edgar/data/315858/0000315858-16-000090-index.html")</f>
        <v>http://www.sec.gov/Archives/edgar/data/315858/0000315858-16-000090-index.html</v>
      </c>
    </row>
    <row r="4150" spans="1:6" x14ac:dyDescent="0.2">
      <c r="A4150" t="s">
        <v>3721</v>
      </c>
      <c r="B4150" s="1">
        <v>318833</v>
      </c>
      <c r="C4150" s="1">
        <v>7600</v>
      </c>
      <c r="D4150" s="2">
        <v>42444</v>
      </c>
      <c r="E4150" s="1" t="s">
        <v>21</v>
      </c>
      <c r="F4150" t="str">
        <f>HYPERLINK("http://www.sec.gov/Archives/edgar/data/318833/0001193125-16-505383-index.html")</f>
        <v>http://www.sec.gov/Archives/edgar/data/318833/0001193125-16-505383-index.html</v>
      </c>
    </row>
    <row r="4151" spans="1:6" x14ac:dyDescent="0.2">
      <c r="A4151" t="s">
        <v>3722</v>
      </c>
      <c r="B4151" s="1">
        <v>320017</v>
      </c>
      <c r="C4151" s="1">
        <v>8090</v>
      </c>
      <c r="D4151" s="2">
        <v>42444</v>
      </c>
      <c r="E4151" s="1" t="s">
        <v>18</v>
      </c>
      <c r="F4151" t="str">
        <f>HYPERLINK("http://www.sec.gov/Archives/edgar/data/320017/0000320017-16-000098-index.html")</f>
        <v>http://www.sec.gov/Archives/edgar/data/320017/0000320017-16-000098-index.html</v>
      </c>
    </row>
    <row r="4152" spans="1:6" x14ac:dyDescent="0.2">
      <c r="A4152" t="s">
        <v>3723</v>
      </c>
      <c r="B4152" s="1">
        <v>352998</v>
      </c>
      <c r="C4152" s="1">
        <v>2834</v>
      </c>
      <c r="D4152" s="2">
        <v>42444</v>
      </c>
      <c r="E4152" s="1" t="s">
        <v>18</v>
      </c>
      <c r="F4152" t="str">
        <f>HYPERLINK("http://www.sec.gov/Archives/edgar/data/352998/0001144204-16-088135-index.html")</f>
        <v>http://www.sec.gov/Archives/edgar/data/352998/0001144204-16-088135-index.html</v>
      </c>
    </row>
    <row r="4153" spans="1:6" x14ac:dyDescent="0.2">
      <c r="A4153" t="s">
        <v>3724</v>
      </c>
      <c r="B4153" s="1">
        <v>38984</v>
      </c>
      <c r="C4153" s="1">
        <v>5063</v>
      </c>
      <c r="D4153" s="2">
        <v>42444</v>
      </c>
      <c r="E4153" s="1" t="s">
        <v>18</v>
      </c>
      <c r="F4153" t="str">
        <f>HYPERLINK("http://www.sec.gov/Archives/edgar/data/38984/0001564590-16-014762-index.html")</f>
        <v>http://www.sec.gov/Archives/edgar/data/38984/0001564590-16-014762-index.html</v>
      </c>
    </row>
    <row r="4154" spans="1:6" x14ac:dyDescent="0.2">
      <c r="A4154" t="s">
        <v>1582</v>
      </c>
      <c r="B4154" s="1">
        <v>43350</v>
      </c>
      <c r="C4154" s="1">
        <v>4924</v>
      </c>
      <c r="D4154" s="2">
        <v>42444</v>
      </c>
      <c r="E4154" s="1" t="s">
        <v>18</v>
      </c>
      <c r="F4154" t="str">
        <f>HYPERLINK("http://www.sec.gov/Archives/edgar/data/43350/0001144204-16-088193-index.html")</f>
        <v>http://www.sec.gov/Archives/edgar/data/43350/0001144204-16-088193-index.html</v>
      </c>
    </row>
    <row r="4155" spans="1:6" x14ac:dyDescent="0.2">
      <c r="A4155" t="s">
        <v>3725</v>
      </c>
      <c r="B4155" s="1">
        <v>6176</v>
      </c>
      <c r="C4155" s="1">
        <v>3561</v>
      </c>
      <c r="D4155" s="2">
        <v>42444</v>
      </c>
      <c r="E4155" s="1" t="s">
        <v>18</v>
      </c>
      <c r="F4155" t="str">
        <f>HYPERLINK("http://www.sec.gov/Archives/edgar/data/6176/0001193125-16-504538-index.html")</f>
        <v>http://www.sec.gov/Archives/edgar/data/6176/0001193125-16-504538-index.html</v>
      </c>
    </row>
    <row r="4156" spans="1:6" x14ac:dyDescent="0.2">
      <c r="A4156" t="s">
        <v>3726</v>
      </c>
      <c r="B4156" s="1">
        <v>62234</v>
      </c>
      <c r="C4156" s="1">
        <v>7830</v>
      </c>
      <c r="D4156" s="2">
        <v>42444</v>
      </c>
      <c r="E4156" s="1" t="s">
        <v>21</v>
      </c>
      <c r="F4156" t="str">
        <f>HYPERLINK("http://www.sec.gov/Archives/edgar/data/62234/0001144204-16-088204-index.html")</f>
        <v>http://www.sec.gov/Archives/edgar/data/62234/0001144204-16-088204-index.html</v>
      </c>
    </row>
    <row r="4157" spans="1:6" x14ac:dyDescent="0.2">
      <c r="A4157" t="s">
        <v>3727</v>
      </c>
      <c r="B4157" s="1">
        <v>706863</v>
      </c>
      <c r="C4157" s="1">
        <v>6022</v>
      </c>
      <c r="D4157" s="2">
        <v>42444</v>
      </c>
      <c r="E4157" s="1" t="s">
        <v>18</v>
      </c>
      <c r="F4157" t="str">
        <f>HYPERLINK("http://www.sec.gov/Archives/edgar/data/706863/0000706863-16-000080-index.html")</f>
        <v>http://www.sec.gov/Archives/edgar/data/706863/0000706863-16-000080-index.html</v>
      </c>
    </row>
    <row r="4158" spans="1:6" x14ac:dyDescent="0.2">
      <c r="A4158" t="s">
        <v>3728</v>
      </c>
      <c r="B4158" s="1">
        <v>712770</v>
      </c>
      <c r="C4158" s="1">
        <v>6798</v>
      </c>
      <c r="D4158" s="2">
        <v>42444</v>
      </c>
      <c r="E4158" s="1" t="s">
        <v>18</v>
      </c>
      <c r="F4158" t="str">
        <f>HYPERLINK("http://www.sec.gov/Archives/edgar/data/712770/0001047469-16-011158-index.html")</f>
        <v>http://www.sec.gov/Archives/edgar/data/712770/0001047469-16-011158-index.html</v>
      </c>
    </row>
    <row r="4159" spans="1:6" x14ac:dyDescent="0.2">
      <c r="A4159" t="s">
        <v>3729</v>
      </c>
      <c r="B4159" s="1">
        <v>714712</v>
      </c>
      <c r="C4159" s="1">
        <v>6022</v>
      </c>
      <c r="D4159" s="2">
        <v>42444</v>
      </c>
      <c r="E4159" s="1" t="s">
        <v>18</v>
      </c>
      <c r="F4159" t="str">
        <f>HYPERLINK("http://www.sec.gov/Archives/edgar/data/714712/0001144204-16-088128-index.html")</f>
        <v>http://www.sec.gov/Archives/edgar/data/714712/0001144204-16-088128-index.html</v>
      </c>
    </row>
    <row r="4160" spans="1:6" x14ac:dyDescent="0.2">
      <c r="A4160" t="s">
        <v>3730</v>
      </c>
      <c r="B4160" s="1">
        <v>71557</v>
      </c>
      <c r="C4160" s="1">
        <v>4813</v>
      </c>
      <c r="D4160" s="2">
        <v>42444</v>
      </c>
      <c r="E4160" s="1" t="s">
        <v>18</v>
      </c>
      <c r="F4160" t="str">
        <f>HYPERLINK("http://www.sec.gov/Archives/edgar/data/71557/0001513162-16-000749-index.html")</f>
        <v>http://www.sec.gov/Archives/edgar/data/71557/0001513162-16-000749-index.html</v>
      </c>
    </row>
    <row r="4161" spans="1:6" x14ac:dyDescent="0.2">
      <c r="A4161" t="s">
        <v>3731</v>
      </c>
      <c r="B4161" s="1">
        <v>737875</v>
      </c>
      <c r="C4161" s="1">
        <v>6022</v>
      </c>
      <c r="D4161" s="2">
        <v>42444</v>
      </c>
      <c r="E4161" s="1" t="s">
        <v>18</v>
      </c>
      <c r="F4161" t="str">
        <f>HYPERLINK("http://www.sec.gov/Archives/edgar/data/737875/0001144204-16-087926-index.html")</f>
        <v>http://www.sec.gov/Archives/edgar/data/737875/0001144204-16-087926-index.html</v>
      </c>
    </row>
    <row r="4162" spans="1:6" x14ac:dyDescent="0.2">
      <c r="A4162" t="s">
        <v>3732</v>
      </c>
      <c r="B4162" s="1">
        <v>740663</v>
      </c>
      <c r="C4162" s="1">
        <v>6021</v>
      </c>
      <c r="D4162" s="2">
        <v>42444</v>
      </c>
      <c r="E4162" s="1" t="s">
        <v>18</v>
      </c>
      <c r="F4162" t="str">
        <f>HYPERLINK("http://www.sec.gov/Archives/edgar/data/740663/0001437749-16-027661-index.html")</f>
        <v>http://www.sec.gov/Archives/edgar/data/740663/0001437749-16-027661-index.html</v>
      </c>
    </row>
    <row r="4163" spans="1:6" x14ac:dyDescent="0.2">
      <c r="A4163" t="s">
        <v>3733</v>
      </c>
      <c r="B4163" s="1">
        <v>741516</v>
      </c>
      <c r="C4163" s="1">
        <v>6021</v>
      </c>
      <c r="D4163" s="2">
        <v>42444</v>
      </c>
      <c r="E4163" s="1" t="s">
        <v>18</v>
      </c>
      <c r="F4163" t="str">
        <f>HYPERLINK("http://www.sec.gov/Archives/edgar/data/741516/0000741516-16-000064-index.html")</f>
        <v>http://www.sec.gov/Archives/edgar/data/741516/0000741516-16-000064-index.html</v>
      </c>
    </row>
    <row r="4164" spans="1:6" x14ac:dyDescent="0.2">
      <c r="A4164" t="s">
        <v>3734</v>
      </c>
      <c r="B4164" s="1">
        <v>745981</v>
      </c>
      <c r="C4164" s="1">
        <v>6021</v>
      </c>
      <c r="D4164" s="2">
        <v>42444</v>
      </c>
      <c r="E4164" s="1" t="s">
        <v>18</v>
      </c>
      <c r="F4164" t="str">
        <f>HYPERLINK("http://www.sec.gov/Archives/edgar/data/745981/0000745981-16-000082-index.html")</f>
        <v>http://www.sec.gov/Archives/edgar/data/745981/0000745981-16-000082-index.html</v>
      </c>
    </row>
    <row r="4165" spans="1:6" x14ac:dyDescent="0.2">
      <c r="A4165" t="s">
        <v>3735</v>
      </c>
      <c r="B4165" s="1">
        <v>748592</v>
      </c>
      <c r="C4165" s="1">
        <v>4833</v>
      </c>
      <c r="D4165" s="2">
        <v>42444</v>
      </c>
      <c r="E4165" s="1" t="s">
        <v>18</v>
      </c>
      <c r="F4165" t="str">
        <f>HYPERLINK("http://www.sec.gov/Archives/edgar/data/748592/0001493152-16-008049-index.html")</f>
        <v>http://www.sec.gov/Archives/edgar/data/748592/0001493152-16-008049-index.html</v>
      </c>
    </row>
    <row r="4166" spans="1:6" x14ac:dyDescent="0.2">
      <c r="A4166" t="s">
        <v>3736</v>
      </c>
      <c r="B4166" s="1">
        <v>770460</v>
      </c>
      <c r="C4166" s="1">
        <v>6022</v>
      </c>
      <c r="D4166" s="2">
        <v>42444</v>
      </c>
      <c r="E4166" s="1" t="s">
        <v>18</v>
      </c>
      <c r="F4166" t="str">
        <f>HYPERLINK("http://www.sec.gov/Archives/edgar/data/770460/0001193125-16-504615-index.html")</f>
        <v>http://www.sec.gov/Archives/edgar/data/770460/0001193125-16-504615-index.html</v>
      </c>
    </row>
    <row r="4167" spans="1:6" x14ac:dyDescent="0.2">
      <c r="A4167" t="s">
        <v>3737</v>
      </c>
      <c r="B4167" s="1">
        <v>77159</v>
      </c>
      <c r="C4167" s="1">
        <v>1311</v>
      </c>
      <c r="D4167" s="2">
        <v>42444</v>
      </c>
      <c r="E4167" s="1" t="s">
        <v>18</v>
      </c>
      <c r="F4167" t="str">
        <f>HYPERLINK("http://www.sec.gov/Archives/edgar/data/77159/0000077159-16-000064-index.html")</f>
        <v>http://www.sec.gov/Archives/edgar/data/77159/0000077159-16-000064-index.html</v>
      </c>
    </row>
    <row r="4168" spans="1:6" x14ac:dyDescent="0.2">
      <c r="A4168" t="s">
        <v>3738</v>
      </c>
      <c r="B4168" s="1">
        <v>778164</v>
      </c>
      <c r="C4168" s="1">
        <v>2860</v>
      </c>
      <c r="D4168" s="2">
        <v>42444</v>
      </c>
      <c r="E4168" s="1" t="s">
        <v>18</v>
      </c>
      <c r="F4168" t="str">
        <f>HYPERLINK("http://www.sec.gov/Archives/edgar/data/778164/0001019687-16-005470-index.html")</f>
        <v>http://www.sec.gov/Archives/edgar/data/778164/0001019687-16-005470-index.html</v>
      </c>
    </row>
    <row r="4169" spans="1:6" x14ac:dyDescent="0.2">
      <c r="A4169" t="s">
        <v>3739</v>
      </c>
      <c r="B4169" s="1">
        <v>790526</v>
      </c>
      <c r="C4169" s="1">
        <v>8071</v>
      </c>
      <c r="D4169" s="2">
        <v>42444</v>
      </c>
      <c r="E4169" s="1" t="s">
        <v>18</v>
      </c>
      <c r="F4169" t="str">
        <f>HYPERLINK("http://www.sec.gov/Archives/edgar/data/790526/0001019687-16-005474-index.html")</f>
        <v>http://www.sec.gov/Archives/edgar/data/790526/0001019687-16-005474-index.html</v>
      </c>
    </row>
    <row r="4170" spans="1:6" x14ac:dyDescent="0.2">
      <c r="A4170" t="s">
        <v>3740</v>
      </c>
      <c r="B4170" s="1">
        <v>798287</v>
      </c>
      <c r="C4170" s="1">
        <v>4213</v>
      </c>
      <c r="D4170" s="2">
        <v>42444</v>
      </c>
      <c r="E4170" s="1" t="s">
        <v>18</v>
      </c>
      <c r="F4170" t="str">
        <f>HYPERLINK("http://www.sec.gov/Archives/edgar/data/798287/0001437749-16-027684-index.html")</f>
        <v>http://www.sec.gov/Archives/edgar/data/798287/0001437749-16-027684-index.html</v>
      </c>
    </row>
    <row r="4171" spans="1:6" x14ac:dyDescent="0.2">
      <c r="A4171" t="s">
        <v>3741</v>
      </c>
      <c r="B4171" s="1">
        <v>80172</v>
      </c>
      <c r="C4171" s="1">
        <v>3480</v>
      </c>
      <c r="D4171" s="2">
        <v>42444</v>
      </c>
      <c r="E4171" s="1" t="s">
        <v>18</v>
      </c>
      <c r="F4171" t="str">
        <f>HYPERLINK("http://www.sec.gov/Archives/edgar/data/80172/0000080172-16-000039-index.html")</f>
        <v>http://www.sec.gov/Archives/edgar/data/80172/0000080172-16-000039-index.html</v>
      </c>
    </row>
    <row r="4172" spans="1:6" x14ac:dyDescent="0.2">
      <c r="A4172" t="s">
        <v>3742</v>
      </c>
      <c r="B4172" s="1">
        <v>840715</v>
      </c>
      <c r="C4172" s="1">
        <v>3661</v>
      </c>
      <c r="D4172" s="2">
        <v>42444</v>
      </c>
      <c r="E4172" s="1" t="s">
        <v>18</v>
      </c>
      <c r="F4172" t="str">
        <f>HYPERLINK("http://www.sec.gov/Archives/edgar/data/840715/0000840715-16-000073-index.html")</f>
        <v>http://www.sec.gov/Archives/edgar/data/840715/0000840715-16-000073-index.html</v>
      </c>
    </row>
    <row r="4173" spans="1:6" x14ac:dyDescent="0.2">
      <c r="A4173" t="s">
        <v>3743</v>
      </c>
      <c r="B4173" s="1">
        <v>846901</v>
      </c>
      <c r="C4173" s="1">
        <v>6022</v>
      </c>
      <c r="D4173" s="2">
        <v>42444</v>
      </c>
      <c r="E4173" s="1" t="s">
        <v>18</v>
      </c>
      <c r="F4173" t="str">
        <f>HYPERLINK("http://www.sec.gov/Archives/edgar/data/846901/0001193125-16-504937-index.html")</f>
        <v>http://www.sec.gov/Archives/edgar/data/846901/0001193125-16-504937-index.html</v>
      </c>
    </row>
    <row r="4174" spans="1:6" x14ac:dyDescent="0.2">
      <c r="A4174" t="s">
        <v>3744</v>
      </c>
      <c r="B4174" s="1">
        <v>846931</v>
      </c>
      <c r="C4174" s="1">
        <v>6035</v>
      </c>
      <c r="D4174" s="2">
        <v>42444</v>
      </c>
      <c r="E4174" s="1" t="s">
        <v>18</v>
      </c>
      <c r="F4174" t="str">
        <f>HYPERLINK("http://www.sec.gov/Archives/edgar/data/846931/0001193125-16-505348-index.html")</f>
        <v>http://www.sec.gov/Archives/edgar/data/846931/0001193125-16-505348-index.html</v>
      </c>
    </row>
    <row r="4175" spans="1:6" x14ac:dyDescent="0.2">
      <c r="A4175" t="s">
        <v>3745</v>
      </c>
      <c r="B4175" s="1">
        <v>850261</v>
      </c>
      <c r="C4175" s="1">
        <v>8731</v>
      </c>
      <c r="D4175" s="2">
        <v>42444</v>
      </c>
      <c r="E4175" s="1" t="s">
        <v>18</v>
      </c>
      <c r="F4175" t="str">
        <f>HYPERLINK("http://www.sec.gov/Archives/edgar/data/850261/0001564590-16-014768-index.html")</f>
        <v>http://www.sec.gov/Archives/edgar/data/850261/0001564590-16-014768-index.html</v>
      </c>
    </row>
    <row r="4176" spans="1:6" x14ac:dyDescent="0.2">
      <c r="A4176" t="s">
        <v>971</v>
      </c>
      <c r="B4176" s="1">
        <v>861878</v>
      </c>
      <c r="C4176" s="1">
        <v>4955</v>
      </c>
      <c r="D4176" s="2">
        <v>42444</v>
      </c>
      <c r="E4176" s="1" t="s">
        <v>18</v>
      </c>
      <c r="F4176" t="str">
        <f>HYPERLINK("http://www.sec.gov/Archives/edgar/data/861878/0000861878-16-000056-index.html")</f>
        <v>http://www.sec.gov/Archives/edgar/data/861878/0000861878-16-000056-index.html</v>
      </c>
    </row>
    <row r="4177" spans="1:6" x14ac:dyDescent="0.2">
      <c r="A4177" t="s">
        <v>3746</v>
      </c>
      <c r="B4177" s="1">
        <v>864839</v>
      </c>
      <c r="C4177" s="1">
        <v>1311</v>
      </c>
      <c r="D4177" s="2">
        <v>42444</v>
      </c>
      <c r="E4177" s="1" t="s">
        <v>18</v>
      </c>
      <c r="F4177" t="str">
        <f>HYPERLINK("http://www.sec.gov/Archives/edgar/data/864839/0001185185-16-003902-index.html")</f>
        <v>http://www.sec.gov/Archives/edgar/data/864839/0001185185-16-003902-index.html</v>
      </c>
    </row>
    <row r="4178" spans="1:6" x14ac:dyDescent="0.2">
      <c r="A4178" t="s">
        <v>3747</v>
      </c>
      <c r="B4178" s="1">
        <v>866121</v>
      </c>
      <c r="C4178" s="1">
        <v>3760</v>
      </c>
      <c r="D4178" s="2">
        <v>42444</v>
      </c>
      <c r="E4178" s="1" t="s">
        <v>21</v>
      </c>
      <c r="F4178" t="str">
        <f>HYPERLINK("http://www.sec.gov/Archives/edgar/data/866121/0000866121-16-000064-index.html")</f>
        <v>http://www.sec.gov/Archives/edgar/data/866121/0000866121-16-000064-index.html</v>
      </c>
    </row>
    <row r="4179" spans="1:6" x14ac:dyDescent="0.2">
      <c r="A4179" t="s">
        <v>3748</v>
      </c>
      <c r="B4179" s="1">
        <v>867665</v>
      </c>
      <c r="C4179" s="1">
        <v>1311</v>
      </c>
      <c r="D4179" s="2">
        <v>42444</v>
      </c>
      <c r="E4179" s="1" t="s">
        <v>18</v>
      </c>
      <c r="F4179" t="str">
        <f>HYPERLINK("http://www.sec.gov/Archives/edgar/data/867665/0000867665-16-000100-index.html")</f>
        <v>http://www.sec.gov/Archives/edgar/data/867665/0000867665-16-000100-index.html</v>
      </c>
    </row>
    <row r="4180" spans="1:6" x14ac:dyDescent="0.2">
      <c r="A4180" t="s">
        <v>3749</v>
      </c>
      <c r="B4180" s="1">
        <v>868725</v>
      </c>
      <c r="C4180" s="1">
        <v>2870</v>
      </c>
      <c r="D4180" s="2">
        <v>42444</v>
      </c>
      <c r="E4180" s="1" t="s">
        <v>18</v>
      </c>
      <c r="F4180" t="str">
        <f>HYPERLINK("http://www.sec.gov/Archives/edgar/data/868725/0001564590-16-014871-index.html")</f>
        <v>http://www.sec.gov/Archives/edgar/data/868725/0001564590-16-014871-index.html</v>
      </c>
    </row>
    <row r="4181" spans="1:6" x14ac:dyDescent="0.2">
      <c r="A4181" t="s">
        <v>3750</v>
      </c>
      <c r="B4181" s="1">
        <v>870753</v>
      </c>
      <c r="C4181" s="1">
        <v>3669</v>
      </c>
      <c r="D4181" s="2">
        <v>42444</v>
      </c>
      <c r="E4181" s="1" t="s">
        <v>18</v>
      </c>
      <c r="F4181" t="str">
        <f>HYPERLINK("http://www.sec.gov/Archives/edgar/data/870753/0001571049-16-013031-index.html")</f>
        <v>http://www.sec.gov/Archives/edgar/data/870753/0001571049-16-013031-index.html</v>
      </c>
    </row>
    <row r="4182" spans="1:6" x14ac:dyDescent="0.2">
      <c r="A4182" t="s">
        <v>1419</v>
      </c>
      <c r="B4182" s="1">
        <v>876343</v>
      </c>
      <c r="C4182" s="1">
        <v>2836</v>
      </c>
      <c r="D4182" s="2">
        <v>42444</v>
      </c>
      <c r="E4182" s="1" t="s">
        <v>18</v>
      </c>
      <c r="F4182" t="str">
        <f>HYPERLINK("http://www.sec.gov/Archives/edgar/data/876343/0001140361-16-057879-index.html")</f>
        <v>http://www.sec.gov/Archives/edgar/data/876343/0001140361-16-057879-index.html</v>
      </c>
    </row>
    <row r="4183" spans="1:6" x14ac:dyDescent="0.2">
      <c r="A4183" t="s">
        <v>3751</v>
      </c>
      <c r="B4183" s="1">
        <v>879169</v>
      </c>
      <c r="C4183" s="1">
        <v>8731</v>
      </c>
      <c r="D4183" s="2">
        <v>42444</v>
      </c>
      <c r="E4183" s="1" t="s">
        <v>42</v>
      </c>
      <c r="F4183" t="str">
        <f>HYPERLINK("http://www.sec.gov/Archives/edgar/data/879169/0001558370-16-004172-index.html")</f>
        <v>http://www.sec.gov/Archives/edgar/data/879169/0001558370-16-004172-index.html</v>
      </c>
    </row>
    <row r="4184" spans="1:6" x14ac:dyDescent="0.2">
      <c r="A4184" t="s">
        <v>3752</v>
      </c>
      <c r="B4184" s="1">
        <v>883975</v>
      </c>
      <c r="C4184" s="1">
        <v>2836</v>
      </c>
      <c r="D4184" s="2">
        <v>42444</v>
      </c>
      <c r="E4184" s="1" t="s">
        <v>18</v>
      </c>
      <c r="F4184" t="str">
        <f>HYPERLINK("http://www.sec.gov/Archives/edgar/data/883975/0001193125-16-504472-index.html")</f>
        <v>http://www.sec.gov/Archives/edgar/data/883975/0001193125-16-504472-index.html</v>
      </c>
    </row>
    <row r="4185" spans="1:6" x14ac:dyDescent="0.2">
      <c r="A4185" t="s">
        <v>3753</v>
      </c>
      <c r="B4185" s="1">
        <v>885462</v>
      </c>
      <c r="C4185" s="1">
        <v>2800</v>
      </c>
      <c r="D4185" s="2">
        <v>42444</v>
      </c>
      <c r="E4185" s="1" t="s">
        <v>18</v>
      </c>
      <c r="F4185" t="str">
        <f>HYPERLINK("http://www.sec.gov/Archives/edgar/data/885462/0001193805-16-002846-index.html")</f>
        <v>http://www.sec.gov/Archives/edgar/data/885462/0001193805-16-002846-index.html</v>
      </c>
    </row>
    <row r="4186" spans="1:6" x14ac:dyDescent="0.2">
      <c r="A4186" t="s">
        <v>3754</v>
      </c>
      <c r="B4186" s="1">
        <v>885508</v>
      </c>
      <c r="C4186" s="1">
        <v>6552</v>
      </c>
      <c r="D4186" s="2">
        <v>42444</v>
      </c>
      <c r="E4186" s="1" t="s">
        <v>18</v>
      </c>
      <c r="F4186" t="str">
        <f>HYPERLINK("http://www.sec.gov/Archives/edgar/data/885508/0000885508-16-000052-index.html")</f>
        <v>http://www.sec.gov/Archives/edgar/data/885508/0000885508-16-000052-index.html</v>
      </c>
    </row>
    <row r="4187" spans="1:6" x14ac:dyDescent="0.2">
      <c r="A4187" t="s">
        <v>3755</v>
      </c>
      <c r="B4187" s="1">
        <v>886171</v>
      </c>
      <c r="C4187" s="1">
        <v>7350</v>
      </c>
      <c r="D4187" s="2">
        <v>42444</v>
      </c>
      <c r="E4187" s="1" t="s">
        <v>18</v>
      </c>
      <c r="F4187" t="str">
        <f>HYPERLINK("http://www.sec.gov/Archives/edgar/data/886171/0001558370-16-004164-index.html")</f>
        <v>http://www.sec.gov/Archives/edgar/data/886171/0001558370-16-004164-index.html</v>
      </c>
    </row>
    <row r="4188" spans="1:6" x14ac:dyDescent="0.2">
      <c r="A4188" t="s">
        <v>3756</v>
      </c>
      <c r="B4188" s="1">
        <v>887919</v>
      </c>
      <c r="C4188" s="1">
        <v>6022</v>
      </c>
      <c r="D4188" s="2">
        <v>42444</v>
      </c>
      <c r="E4188" s="1" t="s">
        <v>18</v>
      </c>
      <c r="F4188" t="str">
        <f>HYPERLINK("http://www.sec.gov/Archives/edgar/data/887919/0000887919-16-000063-index.html")</f>
        <v>http://www.sec.gov/Archives/edgar/data/887919/0000887919-16-000063-index.html</v>
      </c>
    </row>
    <row r="4189" spans="1:6" x14ac:dyDescent="0.2">
      <c r="A4189" t="s">
        <v>3757</v>
      </c>
      <c r="B4189" s="1">
        <v>890394</v>
      </c>
      <c r="C4189" s="1">
        <v>3674</v>
      </c>
      <c r="D4189" s="2">
        <v>42444</v>
      </c>
      <c r="E4189" s="1" t="s">
        <v>18</v>
      </c>
      <c r="F4189" t="str">
        <f>HYPERLINK("http://www.sec.gov/Archives/edgar/data/890394/0001047469-16-011164-index.html")</f>
        <v>http://www.sec.gov/Archives/edgar/data/890394/0001047469-16-011164-index.html</v>
      </c>
    </row>
    <row r="4190" spans="1:6" x14ac:dyDescent="0.2">
      <c r="A4190" t="s">
        <v>3758</v>
      </c>
      <c r="B4190" s="1">
        <v>890821</v>
      </c>
      <c r="C4190" s="1">
        <v>3674</v>
      </c>
      <c r="D4190" s="2">
        <v>42444</v>
      </c>
      <c r="E4190" s="1" t="s">
        <v>21</v>
      </c>
      <c r="F4190" t="str">
        <f>HYPERLINK("http://www.sec.gov/Archives/edgar/data/890821/0001079974-16-001044-index.html")</f>
        <v>http://www.sec.gov/Archives/edgar/data/890821/0001079974-16-001044-index.html</v>
      </c>
    </row>
    <row r="4191" spans="1:6" x14ac:dyDescent="0.2">
      <c r="A4191" t="s">
        <v>3759</v>
      </c>
      <c r="B4191" s="1">
        <v>892160</v>
      </c>
      <c r="C4191" s="1">
        <v>3841</v>
      </c>
      <c r="D4191" s="2">
        <v>42444</v>
      </c>
      <c r="E4191" s="1" t="s">
        <v>18</v>
      </c>
      <c r="F4191" t="str">
        <f>HYPERLINK("http://www.sec.gov/Archives/edgar/data/892160/0001144204-16-088236-index.html")</f>
        <v>http://www.sec.gov/Archives/edgar/data/892160/0001144204-16-088236-index.html</v>
      </c>
    </row>
    <row r="4192" spans="1:6" x14ac:dyDescent="0.2">
      <c r="A4192" t="s">
        <v>3760</v>
      </c>
      <c r="B4192" s="1">
        <v>892482</v>
      </c>
      <c r="C4192" s="1">
        <v>7372</v>
      </c>
      <c r="D4192" s="2">
        <v>42444</v>
      </c>
      <c r="E4192" s="1" t="s">
        <v>18</v>
      </c>
      <c r="F4192" t="str">
        <f>HYPERLINK("http://www.sec.gov/Archives/edgar/data/892482/0000892482-16-000029-index.html")</f>
        <v>http://www.sec.gov/Archives/edgar/data/892482/0000892482-16-000029-index.html</v>
      </c>
    </row>
    <row r="4193" spans="1:6" x14ac:dyDescent="0.2">
      <c r="A4193" t="s">
        <v>3761</v>
      </c>
      <c r="B4193" s="1">
        <v>89270</v>
      </c>
      <c r="C4193" s="1">
        <v>3679</v>
      </c>
      <c r="D4193" s="2">
        <v>42444</v>
      </c>
      <c r="E4193" s="1" t="s">
        <v>18</v>
      </c>
      <c r="F4193" t="str">
        <f>HYPERLINK("http://www.sec.gov/Archives/edgar/data/89270/0001193125-16-505257-index.html")</f>
        <v>http://www.sec.gov/Archives/edgar/data/89270/0001193125-16-505257-index.html</v>
      </c>
    </row>
    <row r="4194" spans="1:6" x14ac:dyDescent="0.2">
      <c r="A4194" t="s">
        <v>3762</v>
      </c>
      <c r="B4194" s="1">
        <v>893739</v>
      </c>
      <c r="C4194" s="1">
        <v>6799</v>
      </c>
      <c r="D4194" s="2">
        <v>42444</v>
      </c>
      <c r="E4194" s="1" t="s">
        <v>18</v>
      </c>
      <c r="F4194" t="str">
        <f>HYPERLINK("http://www.sec.gov/Archives/edgar/data/893739/0001144204-16-088169-index.html")</f>
        <v>http://www.sec.gov/Archives/edgar/data/893739/0001144204-16-088169-index.html</v>
      </c>
    </row>
    <row r="4195" spans="1:6" x14ac:dyDescent="0.2">
      <c r="A4195" t="s">
        <v>3763</v>
      </c>
      <c r="B4195" s="1">
        <v>894671</v>
      </c>
      <c r="C4195" s="1">
        <v>6022</v>
      </c>
      <c r="D4195" s="2">
        <v>42444</v>
      </c>
      <c r="E4195" s="1" t="s">
        <v>18</v>
      </c>
      <c r="F4195" t="str">
        <f>HYPERLINK("http://www.sec.gov/Archives/edgar/data/894671/0000894671-16-000060-index.html")</f>
        <v>http://www.sec.gov/Archives/edgar/data/894671/0000894671-16-000060-index.html</v>
      </c>
    </row>
    <row r="4196" spans="1:6" x14ac:dyDescent="0.2">
      <c r="A4196" t="s">
        <v>3764</v>
      </c>
      <c r="B4196" s="1">
        <v>896841</v>
      </c>
      <c r="C4196" s="1">
        <v>3861</v>
      </c>
      <c r="D4196" s="2">
        <v>42444</v>
      </c>
      <c r="E4196" s="1" t="s">
        <v>18</v>
      </c>
      <c r="F4196" t="str">
        <f>HYPERLINK("http://www.sec.gov/Archives/edgar/data/896841/0000896841-16-000147-index.html")</f>
        <v>http://www.sec.gov/Archives/edgar/data/896841/0000896841-16-000147-index.html</v>
      </c>
    </row>
    <row r="4197" spans="1:6" x14ac:dyDescent="0.2">
      <c r="A4197" t="s">
        <v>3765</v>
      </c>
      <c r="B4197" s="1">
        <v>899460</v>
      </c>
      <c r="C4197" s="1">
        <v>2834</v>
      </c>
      <c r="D4197" s="2">
        <v>42444</v>
      </c>
      <c r="E4197" s="1" t="s">
        <v>18</v>
      </c>
      <c r="F4197" t="str">
        <f>HYPERLINK("http://www.sec.gov/Archives/edgar/data/899460/0001193125-16-505366-index.html")</f>
        <v>http://www.sec.gov/Archives/edgar/data/899460/0001193125-16-505366-index.html</v>
      </c>
    </row>
    <row r="4198" spans="1:6" x14ac:dyDescent="0.2">
      <c r="A4198" t="s">
        <v>3766</v>
      </c>
      <c r="B4198" s="1">
        <v>908311</v>
      </c>
      <c r="C4198" s="1">
        <v>6798</v>
      </c>
      <c r="D4198" s="2">
        <v>42444</v>
      </c>
      <c r="E4198" s="1" t="s">
        <v>18</v>
      </c>
      <c r="F4198" t="str">
        <f>HYPERLINK("http://www.sec.gov/Archives/edgar/data/908311/0001558370-16-004156-index.html")</f>
        <v>http://www.sec.gov/Archives/edgar/data/908311/0001558370-16-004156-index.html</v>
      </c>
    </row>
    <row r="4199" spans="1:6" x14ac:dyDescent="0.2">
      <c r="A4199" t="s">
        <v>3767</v>
      </c>
      <c r="B4199" s="1">
        <v>910267</v>
      </c>
      <c r="C4199" s="1">
        <v>2836</v>
      </c>
      <c r="D4199" s="2">
        <v>42444</v>
      </c>
      <c r="E4199" s="1" t="s">
        <v>18</v>
      </c>
      <c r="F4199" t="str">
        <f>HYPERLINK("http://www.sec.gov/Archives/edgar/data/910267/0001144204-16-088046-index.html")</f>
        <v>http://www.sec.gov/Archives/edgar/data/910267/0001144204-16-088046-index.html</v>
      </c>
    </row>
    <row r="4200" spans="1:6" x14ac:dyDescent="0.2">
      <c r="A4200" t="s">
        <v>3768</v>
      </c>
      <c r="B4200" s="1">
        <v>910329</v>
      </c>
      <c r="C4200" s="1">
        <v>2090</v>
      </c>
      <c r="D4200" s="2">
        <v>42444</v>
      </c>
      <c r="E4200" s="1" t="s">
        <v>18</v>
      </c>
      <c r="F4200" t="str">
        <f>HYPERLINK("http://www.sec.gov/Archives/edgar/data/910329/0001144204-16-088200-index.html")</f>
        <v>http://www.sec.gov/Archives/edgar/data/910329/0001144204-16-088200-index.html</v>
      </c>
    </row>
    <row r="4201" spans="1:6" x14ac:dyDescent="0.2">
      <c r="A4201" t="s">
        <v>3769</v>
      </c>
      <c r="B4201" s="1">
        <v>913277</v>
      </c>
      <c r="C4201" s="1">
        <v>3949</v>
      </c>
      <c r="D4201" s="2">
        <v>42444</v>
      </c>
      <c r="E4201" s="1" t="s">
        <v>18</v>
      </c>
      <c r="F4201" t="str">
        <f>HYPERLINK("http://www.sec.gov/Archives/edgar/data/913277/0001144204-16-088182-index.html")</f>
        <v>http://www.sec.gov/Archives/edgar/data/913277/0001144204-16-088182-index.html</v>
      </c>
    </row>
    <row r="4202" spans="1:6" x14ac:dyDescent="0.2">
      <c r="A4202" t="s">
        <v>3770</v>
      </c>
      <c r="B4202" s="1">
        <v>915778</v>
      </c>
      <c r="C4202" s="1">
        <v>3674</v>
      </c>
      <c r="D4202" s="2">
        <v>42444</v>
      </c>
      <c r="E4202" s="1" t="s">
        <v>18</v>
      </c>
      <c r="F4202" t="str">
        <f>HYPERLINK("http://www.sec.gov/Archives/edgar/data/915778/0001437749-16-027709-index.html")</f>
        <v>http://www.sec.gov/Archives/edgar/data/915778/0001437749-16-027709-index.html</v>
      </c>
    </row>
    <row r="4203" spans="1:6" x14ac:dyDescent="0.2">
      <c r="A4203" t="s">
        <v>3771</v>
      </c>
      <c r="B4203" s="1">
        <v>916529</v>
      </c>
      <c r="C4203" s="1">
        <v>3690</v>
      </c>
      <c r="D4203" s="2">
        <v>42444</v>
      </c>
      <c r="E4203" s="1" t="s">
        <v>18</v>
      </c>
      <c r="F4203" t="str">
        <f>HYPERLINK("http://www.sec.gov/Archives/edgar/data/916529/0001185185-16-003913-index.html")</f>
        <v>http://www.sec.gov/Archives/edgar/data/916529/0001185185-16-003913-index.html</v>
      </c>
    </row>
    <row r="4204" spans="1:6" x14ac:dyDescent="0.2">
      <c r="A4204" t="s">
        <v>3772</v>
      </c>
      <c r="B4204" s="1">
        <v>918541</v>
      </c>
      <c r="C4204" s="1">
        <v>3562</v>
      </c>
      <c r="D4204" s="2">
        <v>42444</v>
      </c>
      <c r="E4204" s="1" t="s">
        <v>18</v>
      </c>
      <c r="F4204" t="str">
        <f>HYPERLINK("http://www.sec.gov/Archives/edgar/data/918541/0001193125-16-505292-index.html")</f>
        <v>http://www.sec.gov/Archives/edgar/data/918541/0001193125-16-505292-index.html</v>
      </c>
    </row>
    <row r="4205" spans="1:6" x14ac:dyDescent="0.2">
      <c r="A4205" t="s">
        <v>3773</v>
      </c>
      <c r="B4205" s="1">
        <v>921738</v>
      </c>
      <c r="C4205" s="1">
        <v>7011</v>
      </c>
      <c r="D4205" s="2">
        <v>42444</v>
      </c>
      <c r="E4205" s="1" t="s">
        <v>18</v>
      </c>
      <c r="F4205" t="str">
        <f>HYPERLINK("http://www.sec.gov/Archives/edgar/data/921738/0001047469-16-011168-index.html")</f>
        <v>http://www.sec.gov/Archives/edgar/data/921738/0001047469-16-011168-index.html</v>
      </c>
    </row>
    <row r="4206" spans="1:6" x14ac:dyDescent="0.2">
      <c r="A4206" t="s">
        <v>3774</v>
      </c>
      <c r="B4206" s="1">
        <v>921768</v>
      </c>
      <c r="C4206" s="1">
        <v>6035</v>
      </c>
      <c r="D4206" s="2">
        <v>42444</v>
      </c>
      <c r="E4206" s="1" t="s">
        <v>18</v>
      </c>
      <c r="F4206" t="str">
        <f>HYPERLINK("http://www.sec.gov/Archives/edgar/data/921768/0000921768-16-000104-index.html")</f>
        <v>http://www.sec.gov/Archives/edgar/data/921768/0000921768-16-000104-index.html</v>
      </c>
    </row>
    <row r="4207" spans="1:6" x14ac:dyDescent="0.2">
      <c r="A4207" t="s">
        <v>3775</v>
      </c>
      <c r="B4207" s="1">
        <v>922475</v>
      </c>
      <c r="C4207" s="1">
        <v>8200</v>
      </c>
      <c r="D4207" s="2">
        <v>42444</v>
      </c>
      <c r="E4207" s="1" t="s">
        <v>18</v>
      </c>
      <c r="F4207" t="str">
        <f>HYPERLINK("http://www.sec.gov/Archives/edgar/data/922475/0001193125-16-504396-index.html")</f>
        <v>http://www.sec.gov/Archives/edgar/data/922475/0001193125-16-504396-index.html</v>
      </c>
    </row>
    <row r="4208" spans="1:6" x14ac:dyDescent="0.2">
      <c r="A4208" t="s">
        <v>3776</v>
      </c>
      <c r="B4208" s="1">
        <v>923139</v>
      </c>
      <c r="C4208" s="1">
        <v>6022</v>
      </c>
      <c r="D4208" s="2">
        <v>42444</v>
      </c>
      <c r="E4208" s="1" t="s">
        <v>18</v>
      </c>
      <c r="F4208" t="str">
        <f>HYPERLINK("http://www.sec.gov/Archives/edgar/data/923139/0001171843-16-008590-index.html")</f>
        <v>http://www.sec.gov/Archives/edgar/data/923139/0001171843-16-008590-index.html</v>
      </c>
    </row>
    <row r="4209" spans="1:6" x14ac:dyDescent="0.2">
      <c r="A4209" t="s">
        <v>3777</v>
      </c>
      <c r="B4209" s="1">
        <v>924515</v>
      </c>
      <c r="C4209" s="1">
        <v>3845</v>
      </c>
      <c r="D4209" s="2">
        <v>42444</v>
      </c>
      <c r="E4209" s="1" t="s">
        <v>18</v>
      </c>
      <c r="F4209" t="str">
        <f>HYPERLINK("http://www.sec.gov/Archives/edgar/data/924515/0001121781-16-000420-index.html")</f>
        <v>http://www.sec.gov/Archives/edgar/data/924515/0001121781-16-000420-index.html</v>
      </c>
    </row>
    <row r="4210" spans="1:6" x14ac:dyDescent="0.2">
      <c r="A4210" t="s">
        <v>3778</v>
      </c>
      <c r="B4210" s="1">
        <v>928340</v>
      </c>
      <c r="C4210" s="1">
        <v>4941</v>
      </c>
      <c r="D4210" s="2">
        <v>42444</v>
      </c>
      <c r="E4210" s="1" t="s">
        <v>18</v>
      </c>
      <c r="F4210" t="str">
        <f>HYPERLINK("http://www.sec.gov/Archives/edgar/data/928340/0001144204-16-088251-index.html")</f>
        <v>http://www.sec.gov/Archives/edgar/data/928340/0001144204-16-088251-index.html</v>
      </c>
    </row>
    <row r="4211" spans="1:6" x14ac:dyDescent="0.2">
      <c r="A4211" t="s">
        <v>3779</v>
      </c>
      <c r="B4211" s="1">
        <v>933590</v>
      </c>
      <c r="C4211" s="1">
        <v>6022</v>
      </c>
      <c r="D4211" s="2">
        <v>42444</v>
      </c>
      <c r="E4211" s="1" t="s">
        <v>18</v>
      </c>
      <c r="F4211" t="str">
        <f>HYPERLINK("http://www.sec.gov/Archives/edgar/data/933590/0001104659-16-105260-index.html")</f>
        <v>http://www.sec.gov/Archives/edgar/data/933590/0001104659-16-105260-index.html</v>
      </c>
    </row>
    <row r="4212" spans="1:6" x14ac:dyDescent="0.2">
      <c r="A4212" t="s">
        <v>3780</v>
      </c>
      <c r="B4212" s="1">
        <v>934549</v>
      </c>
      <c r="C4212" s="1">
        <v>6794</v>
      </c>
      <c r="D4212" s="2">
        <v>42444</v>
      </c>
      <c r="E4212" s="1" t="s">
        <v>18</v>
      </c>
      <c r="F4212" t="str">
        <f>HYPERLINK("http://www.sec.gov/Archives/edgar/data/934549/0000934549-16-000100-index.html")</f>
        <v>http://www.sec.gov/Archives/edgar/data/934549/0000934549-16-000100-index.html</v>
      </c>
    </row>
    <row r="4213" spans="1:6" x14ac:dyDescent="0.2">
      <c r="A4213" t="s">
        <v>1571</v>
      </c>
      <c r="B4213" s="1">
        <v>937941</v>
      </c>
      <c r="C4213" s="1">
        <v>5961</v>
      </c>
      <c r="D4213" s="2">
        <v>42444</v>
      </c>
      <c r="E4213" s="1" t="s">
        <v>18</v>
      </c>
      <c r="F4213" t="str">
        <f>HYPERLINK("http://www.sec.gov/Archives/edgar/data/937941/0001493152-16-008067-index.html")</f>
        <v>http://www.sec.gov/Archives/edgar/data/937941/0001493152-16-008067-index.html</v>
      </c>
    </row>
    <row r="4214" spans="1:6" x14ac:dyDescent="0.2">
      <c r="A4214" t="s">
        <v>3781</v>
      </c>
      <c r="B4214" s="1">
        <v>941685</v>
      </c>
      <c r="C4214" s="1">
        <v>7372</v>
      </c>
      <c r="D4214" s="2">
        <v>42444</v>
      </c>
      <c r="E4214" s="1" t="s">
        <v>18</v>
      </c>
      <c r="F4214" t="str">
        <f>HYPERLINK("http://www.sec.gov/Archives/edgar/data/941685/0001415889-16-005090-index.html")</f>
        <v>http://www.sec.gov/Archives/edgar/data/941685/0001415889-16-005090-index.html</v>
      </c>
    </row>
    <row r="4215" spans="1:6" x14ac:dyDescent="0.2">
      <c r="A4215" t="s">
        <v>3782</v>
      </c>
      <c r="B4215" s="1">
        <v>944745</v>
      </c>
      <c r="C4215" s="1">
        <v>6022</v>
      </c>
      <c r="D4215" s="2">
        <v>42444</v>
      </c>
      <c r="E4215" s="1" t="s">
        <v>18</v>
      </c>
      <c r="F4215" t="str">
        <f>HYPERLINK("http://www.sec.gov/Archives/edgar/data/944745/0001193125-16-505302-index.html")</f>
        <v>http://www.sec.gov/Archives/edgar/data/944745/0001193125-16-505302-index.html</v>
      </c>
    </row>
    <row r="4216" spans="1:6" x14ac:dyDescent="0.2">
      <c r="A4216" t="s">
        <v>3783</v>
      </c>
      <c r="B4216" s="1">
        <v>1007587</v>
      </c>
      <c r="C4216" s="1">
        <v>3663</v>
      </c>
      <c r="D4216" s="2">
        <v>42443</v>
      </c>
      <c r="E4216" s="1" t="s">
        <v>18</v>
      </c>
      <c r="F4216" t="str">
        <f>HYPERLINK("http://www.sec.gov/Archives/edgar/data/1007587/0001007587-16-000027-index.html")</f>
        <v>http://www.sec.gov/Archives/edgar/data/1007587/0001007587-16-000027-index.html</v>
      </c>
    </row>
    <row r="4217" spans="1:6" x14ac:dyDescent="0.2">
      <c r="A4217" t="s">
        <v>3784</v>
      </c>
      <c r="B4217" s="1">
        <v>1013880</v>
      </c>
      <c r="C4217" s="1">
        <v>7363</v>
      </c>
      <c r="D4217" s="2">
        <v>42443</v>
      </c>
      <c r="E4217" s="1" t="s">
        <v>18</v>
      </c>
      <c r="F4217" t="str">
        <f>HYPERLINK("http://www.sec.gov/Archives/edgar/data/1013880/0001558370-16-004115-index.html")</f>
        <v>http://www.sec.gov/Archives/edgar/data/1013880/0001558370-16-004115-index.html</v>
      </c>
    </row>
    <row r="4218" spans="1:6" x14ac:dyDescent="0.2">
      <c r="A4218" t="s">
        <v>3785</v>
      </c>
      <c r="B4218" s="1">
        <v>1017793</v>
      </c>
      <c r="C4218" s="1">
        <v>6029</v>
      </c>
      <c r="D4218" s="2">
        <v>42443</v>
      </c>
      <c r="E4218" s="1" t="s">
        <v>18</v>
      </c>
      <c r="F4218" t="str">
        <f>HYPERLINK("http://www.sec.gov/Archives/edgar/data/1017793/0001564590-16-014691-index.html")</f>
        <v>http://www.sec.gov/Archives/edgar/data/1017793/0001564590-16-014691-index.html</v>
      </c>
    </row>
    <row r="4219" spans="1:6" x14ac:dyDescent="0.2">
      <c r="A4219" t="s">
        <v>3786</v>
      </c>
      <c r="B4219" s="1">
        <v>1031029</v>
      </c>
      <c r="C4219" s="1">
        <v>7363</v>
      </c>
      <c r="D4219" s="2">
        <v>42443</v>
      </c>
      <c r="E4219" s="1" t="s">
        <v>18</v>
      </c>
      <c r="F4219" t="str">
        <f>HYPERLINK("http://www.sec.gov/Archives/edgar/data/1031029/0001031029-16-000079-index.html")</f>
        <v>http://www.sec.gov/Archives/edgar/data/1031029/0001031029-16-000079-index.html</v>
      </c>
    </row>
    <row r="4220" spans="1:6" x14ac:dyDescent="0.2">
      <c r="A4220" t="s">
        <v>3787</v>
      </c>
      <c r="B4220" s="1">
        <v>1033012</v>
      </c>
      <c r="C4220" s="1">
        <v>6035</v>
      </c>
      <c r="D4220" s="2">
        <v>42443</v>
      </c>
      <c r="E4220" s="1" t="s">
        <v>18</v>
      </c>
      <c r="F4220" t="str">
        <f>HYPERLINK("http://www.sec.gov/Archives/edgar/data/1033012/0001033012-16-000110-index.html")</f>
        <v>http://www.sec.gov/Archives/edgar/data/1033012/0001033012-16-000110-index.html</v>
      </c>
    </row>
    <row r="4221" spans="1:6" x14ac:dyDescent="0.2">
      <c r="A4221" t="s">
        <v>3788</v>
      </c>
      <c r="B4221" s="1">
        <v>1041657</v>
      </c>
      <c r="C4221" s="1">
        <v>4832</v>
      </c>
      <c r="D4221" s="2">
        <v>42443</v>
      </c>
      <c r="E4221" s="1" t="s">
        <v>18</v>
      </c>
      <c r="F4221" t="str">
        <f>HYPERLINK("http://www.sec.gov/Archives/edgar/data/1041657/0001144204-16-087899-index.html")</f>
        <v>http://www.sec.gov/Archives/edgar/data/1041657/0001144204-16-087899-index.html</v>
      </c>
    </row>
    <row r="4222" spans="1:6" x14ac:dyDescent="0.2">
      <c r="A4222" t="s">
        <v>3789</v>
      </c>
      <c r="B4222" s="1">
        <v>1043337</v>
      </c>
      <c r="C4222" s="1">
        <v>3714</v>
      </c>
      <c r="D4222" s="2">
        <v>42443</v>
      </c>
      <c r="E4222" s="1" t="s">
        <v>18</v>
      </c>
      <c r="F4222" t="str">
        <f>HYPERLINK("http://www.sec.gov/Archives/edgar/data/1043337/0001144204-16-087901-index.html")</f>
        <v>http://www.sec.gov/Archives/edgar/data/1043337/0001144204-16-087901-index.html</v>
      </c>
    </row>
    <row r="4223" spans="1:6" x14ac:dyDescent="0.2">
      <c r="A4223" t="s">
        <v>3790</v>
      </c>
      <c r="B4223" s="1">
        <v>1055726</v>
      </c>
      <c r="C4223" s="1">
        <v>3841</v>
      </c>
      <c r="D4223" s="2">
        <v>42443</v>
      </c>
      <c r="E4223" s="1" t="s">
        <v>18</v>
      </c>
      <c r="F4223" t="str">
        <f>HYPERLINK("http://www.sec.gov/Archives/edgar/data/1055726/0001055726-16-000033-index.html")</f>
        <v>http://www.sec.gov/Archives/edgar/data/1055726/0001055726-16-000033-index.html</v>
      </c>
    </row>
    <row r="4224" spans="1:6" x14ac:dyDescent="0.2">
      <c r="A4224" t="s">
        <v>3791</v>
      </c>
      <c r="B4224" s="1">
        <v>1056923</v>
      </c>
      <c r="C4224" s="1">
        <v>7373</v>
      </c>
      <c r="D4224" s="2">
        <v>42443</v>
      </c>
      <c r="E4224" s="1" t="s">
        <v>18</v>
      </c>
      <c r="F4224" t="str">
        <f>HYPERLINK("http://www.sec.gov/Archives/edgar/data/1056923/0001047469-16-011108-index.html")</f>
        <v>http://www.sec.gov/Archives/edgar/data/1056923/0001047469-16-011108-index.html</v>
      </c>
    </row>
    <row r="4225" spans="1:6" x14ac:dyDescent="0.2">
      <c r="A4225" t="s">
        <v>3792</v>
      </c>
      <c r="B4225" s="1">
        <v>1057706</v>
      </c>
      <c r="C4225" s="1">
        <v>6022</v>
      </c>
      <c r="D4225" s="2">
        <v>42443</v>
      </c>
      <c r="E4225" s="1" t="s">
        <v>18</v>
      </c>
      <c r="F4225" t="str">
        <f>HYPERLINK("http://www.sec.gov/Archives/edgar/data/1057706/0001057706-16-000020-index.html")</f>
        <v>http://www.sec.gov/Archives/edgar/data/1057706/0001057706-16-000020-index.html</v>
      </c>
    </row>
    <row r="4226" spans="1:6" x14ac:dyDescent="0.2">
      <c r="A4226" t="s">
        <v>3793</v>
      </c>
      <c r="B4226" s="1">
        <v>1061027</v>
      </c>
      <c r="C4226" s="1">
        <v>2834</v>
      </c>
      <c r="D4226" s="2">
        <v>42443</v>
      </c>
      <c r="E4226" s="1" t="s">
        <v>18</v>
      </c>
      <c r="F4226" t="str">
        <f>HYPERLINK("http://www.sec.gov/Archives/edgar/data/1061027/0001564590-16-014612-index.html")</f>
        <v>http://www.sec.gov/Archives/edgar/data/1061027/0001564590-16-014612-index.html</v>
      </c>
    </row>
    <row r="4227" spans="1:6" x14ac:dyDescent="0.2">
      <c r="A4227" t="s">
        <v>3794</v>
      </c>
      <c r="B4227" s="1">
        <v>106455</v>
      </c>
      <c r="C4227" s="1">
        <v>1221</v>
      </c>
      <c r="D4227" s="2">
        <v>42443</v>
      </c>
      <c r="E4227" s="1" t="s">
        <v>18</v>
      </c>
      <c r="F4227" t="str">
        <f>HYPERLINK("http://www.sec.gov/Archives/edgar/data/106455/0000106455-16-000116-index.html")</f>
        <v>http://www.sec.gov/Archives/edgar/data/106455/0000106455-16-000116-index.html</v>
      </c>
    </row>
    <row r="4228" spans="1:6" x14ac:dyDescent="0.2">
      <c r="A4228" t="s">
        <v>3795</v>
      </c>
      <c r="B4228" s="1">
        <v>1069996</v>
      </c>
      <c r="C4228" s="1">
        <v>6331</v>
      </c>
      <c r="D4228" s="2">
        <v>42443</v>
      </c>
      <c r="E4228" s="1" t="s">
        <v>18</v>
      </c>
      <c r="F4228" t="str">
        <f>HYPERLINK("http://www.sec.gov/Archives/edgar/data/1069996/0001140361-16-057540-index.html")</f>
        <v>http://www.sec.gov/Archives/edgar/data/1069996/0001140361-16-057540-index.html</v>
      </c>
    </row>
    <row r="4229" spans="1:6" x14ac:dyDescent="0.2">
      <c r="A4229" t="s">
        <v>3796</v>
      </c>
      <c r="B4229" s="1">
        <v>1071255</v>
      </c>
      <c r="C4229" s="1">
        <v>7990</v>
      </c>
      <c r="D4229" s="2">
        <v>42443</v>
      </c>
      <c r="E4229" s="1" t="s">
        <v>18</v>
      </c>
      <c r="F4229" t="str">
        <f>HYPERLINK("http://www.sec.gov/Archives/edgar/data/1071255/0001437749-16-027532-index.html")</f>
        <v>http://www.sec.gov/Archives/edgar/data/1071255/0001437749-16-027532-index.html</v>
      </c>
    </row>
    <row r="4230" spans="1:6" x14ac:dyDescent="0.2">
      <c r="A4230" t="s">
        <v>3797</v>
      </c>
      <c r="B4230" s="1">
        <v>1071993</v>
      </c>
      <c r="C4230" s="1">
        <v>1311</v>
      </c>
      <c r="D4230" s="2">
        <v>42443</v>
      </c>
      <c r="E4230" s="1" t="s">
        <v>18</v>
      </c>
      <c r="F4230" t="str">
        <f>HYPERLINK("http://www.sec.gov/Archives/edgar/data/1071993/0001071993-16-000071-index.html")</f>
        <v>http://www.sec.gov/Archives/edgar/data/1071993/0001071993-16-000071-index.html</v>
      </c>
    </row>
    <row r="4231" spans="1:6" x14ac:dyDescent="0.2">
      <c r="A4231" t="s">
        <v>3798</v>
      </c>
      <c r="B4231" s="1">
        <v>1084717</v>
      </c>
      <c r="C4231" s="1">
        <v>6021</v>
      </c>
      <c r="D4231" s="2">
        <v>42443</v>
      </c>
      <c r="E4231" s="1" t="s">
        <v>18</v>
      </c>
      <c r="F4231" t="str">
        <f>HYPERLINK("http://www.sec.gov/Archives/edgar/data/1084717/0001193125-16-503339-index.html")</f>
        <v>http://www.sec.gov/Archives/edgar/data/1084717/0001193125-16-503339-index.html</v>
      </c>
    </row>
    <row r="4232" spans="1:6" x14ac:dyDescent="0.2">
      <c r="A4232" t="s">
        <v>3799</v>
      </c>
      <c r="B4232" s="1">
        <v>1085913</v>
      </c>
      <c r="C4232" s="1">
        <v>6021</v>
      </c>
      <c r="D4232" s="2">
        <v>42443</v>
      </c>
      <c r="E4232" s="1" t="s">
        <v>18</v>
      </c>
      <c r="F4232" t="str">
        <f>HYPERLINK("http://www.sec.gov/Archives/edgar/data/1085913/0001140361-16-057597-index.html")</f>
        <v>http://www.sec.gov/Archives/edgar/data/1085913/0001140361-16-057597-index.html</v>
      </c>
    </row>
    <row r="4233" spans="1:6" x14ac:dyDescent="0.2">
      <c r="A4233" t="s">
        <v>3800</v>
      </c>
      <c r="B4233" s="1">
        <v>1087294</v>
      </c>
      <c r="C4233" s="1">
        <v>2834</v>
      </c>
      <c r="D4233" s="2">
        <v>42443</v>
      </c>
      <c r="E4233" s="1" t="s">
        <v>18</v>
      </c>
      <c r="F4233" t="str">
        <f>HYPERLINK("http://www.sec.gov/Archives/edgar/data/1087294/0001628280-16-012682-index.html")</f>
        <v>http://www.sec.gov/Archives/edgar/data/1087294/0001628280-16-012682-index.html</v>
      </c>
    </row>
    <row r="4234" spans="1:6" x14ac:dyDescent="0.2">
      <c r="A4234" t="s">
        <v>3801</v>
      </c>
      <c r="B4234" s="1">
        <v>1093672</v>
      </c>
      <c r="C4234" s="1">
        <v>6022</v>
      </c>
      <c r="D4234" s="2">
        <v>42443</v>
      </c>
      <c r="E4234" s="1" t="s">
        <v>18</v>
      </c>
      <c r="F4234" t="str">
        <f>HYPERLINK("http://www.sec.gov/Archives/edgar/data/1093672/0001093672-16-000055-index.html")</f>
        <v>http://www.sec.gov/Archives/edgar/data/1093672/0001093672-16-000055-index.html</v>
      </c>
    </row>
    <row r="4235" spans="1:6" x14ac:dyDescent="0.2">
      <c r="A4235" t="s">
        <v>3802</v>
      </c>
      <c r="B4235" s="1">
        <v>1108967</v>
      </c>
      <c r="C4235" s="1">
        <v>5065</v>
      </c>
      <c r="D4235" s="2">
        <v>42443</v>
      </c>
      <c r="E4235" s="1" t="s">
        <v>18</v>
      </c>
      <c r="F4235" t="str">
        <f>HYPERLINK("http://www.sec.gov/Archives/edgar/data/1108967/0001144204-16-087892-index.html")</f>
        <v>http://www.sec.gov/Archives/edgar/data/1108967/0001144204-16-087892-index.html</v>
      </c>
    </row>
    <row r="4236" spans="1:6" x14ac:dyDescent="0.2">
      <c r="A4236" t="s">
        <v>1633</v>
      </c>
      <c r="B4236" s="1">
        <v>1109196</v>
      </c>
      <c r="C4236" s="1">
        <v>2834</v>
      </c>
      <c r="D4236" s="2">
        <v>42443</v>
      </c>
      <c r="E4236" s="1" t="s">
        <v>18</v>
      </c>
      <c r="F4236" t="str">
        <f>HYPERLINK("http://www.sec.gov/Archives/edgar/data/1109196/0001415889-16-005062-index.html")</f>
        <v>http://www.sec.gov/Archives/edgar/data/1109196/0001415889-16-005062-index.html</v>
      </c>
    </row>
    <row r="4237" spans="1:6" x14ac:dyDescent="0.2">
      <c r="A4237" t="s">
        <v>3803</v>
      </c>
      <c r="B4237" s="1">
        <v>1109546</v>
      </c>
      <c r="C4237" s="1">
        <v>6021</v>
      </c>
      <c r="D4237" s="2">
        <v>42443</v>
      </c>
      <c r="E4237" s="1" t="s">
        <v>18</v>
      </c>
      <c r="F4237" t="str">
        <f>HYPERLINK("http://www.sec.gov/Archives/edgar/data/1109546/0001109546-16-000065-index.html")</f>
        <v>http://www.sec.gov/Archives/edgar/data/1109546/0001109546-16-000065-index.html</v>
      </c>
    </row>
    <row r="4238" spans="1:6" x14ac:dyDescent="0.2">
      <c r="A4238" t="s">
        <v>3804</v>
      </c>
      <c r="B4238" s="1">
        <v>1116463</v>
      </c>
      <c r="C4238" s="1">
        <v>3841</v>
      </c>
      <c r="D4238" s="2">
        <v>42443</v>
      </c>
      <c r="E4238" s="1" t="s">
        <v>18</v>
      </c>
      <c r="F4238" t="str">
        <f>HYPERLINK("http://www.sec.gov/Archives/edgar/data/1116463/0001193125-16-503534-index.html")</f>
        <v>http://www.sec.gov/Archives/edgar/data/1116463/0001193125-16-503534-index.html</v>
      </c>
    </row>
    <row r="4239" spans="1:6" x14ac:dyDescent="0.2">
      <c r="A4239" t="s">
        <v>3805</v>
      </c>
      <c r="B4239" s="1">
        <v>1129260</v>
      </c>
      <c r="C4239" s="1">
        <v>3669</v>
      </c>
      <c r="D4239" s="2">
        <v>42443</v>
      </c>
      <c r="E4239" s="1" t="s">
        <v>18</v>
      </c>
      <c r="F4239" t="str">
        <f>HYPERLINK("http://www.sec.gov/Archives/edgar/data/1129260/0001129260-16-000024-index.html")</f>
        <v>http://www.sec.gov/Archives/edgar/data/1129260/0001129260-16-000024-index.html</v>
      </c>
    </row>
    <row r="4240" spans="1:6" x14ac:dyDescent="0.2">
      <c r="A4240" t="s">
        <v>3806</v>
      </c>
      <c r="B4240" s="1">
        <v>1133311</v>
      </c>
      <c r="C4240" s="1">
        <v>7373</v>
      </c>
      <c r="D4240" s="2">
        <v>42443</v>
      </c>
      <c r="E4240" s="1" t="s">
        <v>18</v>
      </c>
      <c r="F4240" t="str">
        <f>HYPERLINK("http://www.sec.gov/Archives/edgar/data/1133311/0001133311-16-000050-index.html")</f>
        <v>http://www.sec.gov/Archives/edgar/data/1133311/0001133311-16-000050-index.html</v>
      </c>
    </row>
    <row r="4241" spans="1:6" x14ac:dyDescent="0.2">
      <c r="A4241" t="s">
        <v>3807</v>
      </c>
      <c r="B4241" s="1">
        <v>1141688</v>
      </c>
      <c r="C4241" s="1">
        <v>6021</v>
      </c>
      <c r="D4241" s="2">
        <v>42443</v>
      </c>
      <c r="E4241" s="1" t="s">
        <v>18</v>
      </c>
      <c r="F4241" t="str">
        <f>HYPERLINK("http://www.sec.gov/Archives/edgar/data/1141688/0001144204-16-087867-index.html")</f>
        <v>http://www.sec.gov/Archives/edgar/data/1141688/0001144204-16-087867-index.html</v>
      </c>
    </row>
    <row r="4242" spans="1:6" x14ac:dyDescent="0.2">
      <c r="A4242" t="s">
        <v>3808</v>
      </c>
      <c r="B4242" s="1">
        <v>1158114</v>
      </c>
      <c r="C4242" s="1">
        <v>3674</v>
      </c>
      <c r="D4242" s="2">
        <v>42443</v>
      </c>
      <c r="E4242" s="1" t="s">
        <v>18</v>
      </c>
      <c r="F4242" t="str">
        <f>HYPERLINK("http://www.sec.gov/Archives/edgar/data/1158114/0001019687-16-005442-index.html")</f>
        <v>http://www.sec.gov/Archives/edgar/data/1158114/0001019687-16-005442-index.html</v>
      </c>
    </row>
    <row r="4243" spans="1:6" x14ac:dyDescent="0.2">
      <c r="A4243" t="s">
        <v>3809</v>
      </c>
      <c r="B4243" s="1">
        <v>1160308</v>
      </c>
      <c r="C4243" s="1">
        <v>2834</v>
      </c>
      <c r="D4243" s="2">
        <v>42443</v>
      </c>
      <c r="E4243" s="1" t="s">
        <v>18</v>
      </c>
      <c r="F4243" t="str">
        <f>HYPERLINK("http://www.sec.gov/Archives/edgar/data/1160308/0001564590-16-014658-index.html")</f>
        <v>http://www.sec.gov/Archives/edgar/data/1160308/0001564590-16-014658-index.html</v>
      </c>
    </row>
    <row r="4244" spans="1:6" x14ac:dyDescent="0.2">
      <c r="A4244" t="s">
        <v>3810</v>
      </c>
      <c r="B4244" s="1">
        <v>1169445</v>
      </c>
      <c r="C4244" s="1">
        <v>7371</v>
      </c>
      <c r="D4244" s="2">
        <v>42443</v>
      </c>
      <c r="E4244" s="1" t="s">
        <v>18</v>
      </c>
      <c r="F4244" t="str">
        <f>HYPERLINK("http://www.sec.gov/Archives/edgar/data/1169445/0001169445-16-000020-index.html")</f>
        <v>http://www.sec.gov/Archives/edgar/data/1169445/0001169445-16-000020-index.html</v>
      </c>
    </row>
    <row r="4245" spans="1:6" x14ac:dyDescent="0.2">
      <c r="A4245" t="s">
        <v>717</v>
      </c>
      <c r="B4245" s="1">
        <v>1171155</v>
      </c>
      <c r="C4245" s="1">
        <v>4731</v>
      </c>
      <c r="D4245" s="2">
        <v>42443</v>
      </c>
      <c r="E4245" s="1" t="s">
        <v>42</v>
      </c>
      <c r="F4245" t="str">
        <f>HYPERLINK("http://www.sec.gov/Archives/edgar/data/1171155/0001564590-16-014683-index.html")</f>
        <v>http://www.sec.gov/Archives/edgar/data/1171155/0001564590-16-014683-index.html</v>
      </c>
    </row>
    <row r="4246" spans="1:6" x14ac:dyDescent="0.2">
      <c r="A4246" t="s">
        <v>3811</v>
      </c>
      <c r="B4246" s="1">
        <v>1171486</v>
      </c>
      <c r="C4246" s="1">
        <v>1221</v>
      </c>
      <c r="D4246" s="2">
        <v>42443</v>
      </c>
      <c r="E4246" s="1" t="s">
        <v>42</v>
      </c>
      <c r="F4246" t="str">
        <f>HYPERLINK("http://www.sec.gov/Archives/edgar/data/1171486/0001171486-16-000031-index.html")</f>
        <v>http://www.sec.gov/Archives/edgar/data/1171486/0001171486-16-000031-index.html</v>
      </c>
    </row>
    <row r="4247" spans="1:6" x14ac:dyDescent="0.2">
      <c r="A4247" t="s">
        <v>3812</v>
      </c>
      <c r="B4247" s="1">
        <v>1172631</v>
      </c>
      <c r="C4247" s="1">
        <v>3661</v>
      </c>
      <c r="D4247" s="2">
        <v>42443</v>
      </c>
      <c r="E4247" s="1" t="s">
        <v>18</v>
      </c>
      <c r="F4247" t="str">
        <f>HYPERLINK("http://www.sec.gov/Archives/edgar/data/1172631/0001185185-16-003879-index.html")</f>
        <v>http://www.sec.gov/Archives/edgar/data/1172631/0001185185-16-003879-index.html</v>
      </c>
    </row>
    <row r="4248" spans="1:6" x14ac:dyDescent="0.2">
      <c r="A4248" t="s">
        <v>3813</v>
      </c>
      <c r="B4248" s="1">
        <v>1228454</v>
      </c>
      <c r="C4248" s="1">
        <v>6035</v>
      </c>
      <c r="D4248" s="2">
        <v>42443</v>
      </c>
      <c r="E4248" s="1" t="s">
        <v>18</v>
      </c>
      <c r="F4248" t="str">
        <f>HYPERLINK("http://www.sec.gov/Archives/edgar/data/1228454/0001228454-16-000016-index.html")</f>
        <v>http://www.sec.gov/Archives/edgar/data/1228454/0001228454-16-000016-index.html</v>
      </c>
    </row>
    <row r="4249" spans="1:6" x14ac:dyDescent="0.2">
      <c r="A4249" t="s">
        <v>3814</v>
      </c>
      <c r="B4249" s="1">
        <v>1228627</v>
      </c>
      <c r="C4249" s="1">
        <v>2834</v>
      </c>
      <c r="D4249" s="2">
        <v>42443</v>
      </c>
      <c r="E4249" s="1" t="s">
        <v>18</v>
      </c>
      <c r="F4249" t="str">
        <f>HYPERLINK("http://www.sec.gov/Archives/edgar/data/1228627/0001140361-16-057543-index.html")</f>
        <v>http://www.sec.gov/Archives/edgar/data/1228627/0001140361-16-057543-index.html</v>
      </c>
    </row>
    <row r="4250" spans="1:6" x14ac:dyDescent="0.2">
      <c r="A4250" t="s">
        <v>3815</v>
      </c>
      <c r="B4250" s="1">
        <v>1264587</v>
      </c>
      <c r="C4250" s="1">
        <v>2834</v>
      </c>
      <c r="D4250" s="2">
        <v>42443</v>
      </c>
      <c r="E4250" s="1" t="s">
        <v>18</v>
      </c>
      <c r="F4250" t="str">
        <f>HYPERLINK("http://www.sec.gov/Archives/edgar/data/1264587/0001104659-16-104922-index.html")</f>
        <v>http://www.sec.gov/Archives/edgar/data/1264587/0001104659-16-104922-index.html</v>
      </c>
    </row>
    <row r="4251" spans="1:6" x14ac:dyDescent="0.2">
      <c r="A4251" t="s">
        <v>3816</v>
      </c>
      <c r="B4251" s="1">
        <v>1284807</v>
      </c>
      <c r="C4251" s="1">
        <v>2430</v>
      </c>
      <c r="D4251" s="2">
        <v>42443</v>
      </c>
      <c r="E4251" s="1" t="s">
        <v>18</v>
      </c>
      <c r="F4251" t="str">
        <f>HYPERLINK("http://www.sec.gov/Archives/edgar/data/1284807/0001284807-16-000056-index.html")</f>
        <v>http://www.sec.gov/Archives/edgar/data/1284807/0001284807-16-000056-index.html</v>
      </c>
    </row>
    <row r="4252" spans="1:6" x14ac:dyDescent="0.2">
      <c r="A4252" t="s">
        <v>3817</v>
      </c>
      <c r="B4252" s="1">
        <v>1287151</v>
      </c>
      <c r="C4252" s="1">
        <v>2221</v>
      </c>
      <c r="D4252" s="2">
        <v>42443</v>
      </c>
      <c r="E4252" s="1" t="s">
        <v>18</v>
      </c>
      <c r="F4252" t="str">
        <f>HYPERLINK("http://www.sec.gov/Archives/edgar/data/1287151/0001287151-16-000125-index.html")</f>
        <v>http://www.sec.gov/Archives/edgar/data/1287151/0001287151-16-000125-index.html</v>
      </c>
    </row>
    <row r="4253" spans="1:6" x14ac:dyDescent="0.2">
      <c r="A4253" t="s">
        <v>3818</v>
      </c>
      <c r="B4253" s="1">
        <v>1294133</v>
      </c>
      <c r="C4253" s="1">
        <v>3842</v>
      </c>
      <c r="D4253" s="2">
        <v>42443</v>
      </c>
      <c r="E4253" s="1" t="s">
        <v>18</v>
      </c>
      <c r="F4253" t="str">
        <f>HYPERLINK("http://www.sec.gov/Archives/edgar/data/1294133/0001564590-16-014699-index.html")</f>
        <v>http://www.sec.gov/Archives/edgar/data/1294133/0001564590-16-014699-index.html</v>
      </c>
    </row>
    <row r="4254" spans="1:6" x14ac:dyDescent="0.2">
      <c r="A4254" t="s">
        <v>3819</v>
      </c>
      <c r="B4254" s="1">
        <v>1316175</v>
      </c>
      <c r="C4254" s="1">
        <v>2834</v>
      </c>
      <c r="D4254" s="2">
        <v>42443</v>
      </c>
      <c r="E4254" s="1" t="s">
        <v>18</v>
      </c>
      <c r="F4254" t="str">
        <f>HYPERLINK("http://www.sec.gov/Archives/edgar/data/1316175/0001214659-16-010295-index.html")</f>
        <v>http://www.sec.gov/Archives/edgar/data/1316175/0001214659-16-010295-index.html</v>
      </c>
    </row>
    <row r="4255" spans="1:6" x14ac:dyDescent="0.2">
      <c r="A4255" t="s">
        <v>3820</v>
      </c>
      <c r="B4255" s="1">
        <v>1316517</v>
      </c>
      <c r="C4255" s="1">
        <v>3711</v>
      </c>
      <c r="D4255" s="2">
        <v>42443</v>
      </c>
      <c r="E4255" s="1" t="s">
        <v>18</v>
      </c>
      <c r="F4255" t="str">
        <f>HYPERLINK("http://www.sec.gov/Archives/edgar/data/1316517/0001062993-16-008324-index.html")</f>
        <v>http://www.sec.gov/Archives/edgar/data/1316517/0001062993-16-008324-index.html</v>
      </c>
    </row>
    <row r="4256" spans="1:6" x14ac:dyDescent="0.2">
      <c r="A4256" t="s">
        <v>3821</v>
      </c>
      <c r="B4256" s="1">
        <v>1316898</v>
      </c>
      <c r="C4256" s="1">
        <v>5810</v>
      </c>
      <c r="D4256" s="2">
        <v>42443</v>
      </c>
      <c r="E4256" s="1" t="s">
        <v>18</v>
      </c>
      <c r="F4256" t="str">
        <f>HYPERLINK("http://www.sec.gov/Archives/edgar/data/1316898/0001144204-16-087882-index.html")</f>
        <v>http://www.sec.gov/Archives/edgar/data/1316898/0001144204-16-087882-index.html</v>
      </c>
    </row>
    <row r="4257" spans="1:6" x14ac:dyDescent="0.2">
      <c r="A4257" t="s">
        <v>3822</v>
      </c>
      <c r="B4257" s="1">
        <v>1318008</v>
      </c>
      <c r="C4257" s="1">
        <v>5600</v>
      </c>
      <c r="D4257" s="2">
        <v>42443</v>
      </c>
      <c r="E4257" s="1" t="s">
        <v>18</v>
      </c>
      <c r="F4257" t="str">
        <f>HYPERLINK("http://www.sec.gov/Archives/edgar/data/1318008/0001193125-16-502868-index.html")</f>
        <v>http://www.sec.gov/Archives/edgar/data/1318008/0001193125-16-502868-index.html</v>
      </c>
    </row>
    <row r="4258" spans="1:6" x14ac:dyDescent="0.2">
      <c r="A4258" t="s">
        <v>3823</v>
      </c>
      <c r="B4258" s="1">
        <v>13239</v>
      </c>
      <c r="C4258" s="1">
        <v>2821</v>
      </c>
      <c r="D4258" s="2">
        <v>42443</v>
      </c>
      <c r="E4258" s="1" t="s">
        <v>18</v>
      </c>
      <c r="F4258" t="str">
        <f>HYPERLINK("http://www.sec.gov/Archives/edgar/data/13239/0000013239-16-000082-index.html")</f>
        <v>http://www.sec.gov/Archives/edgar/data/13239/0000013239-16-000082-index.html</v>
      </c>
    </row>
    <row r="4259" spans="1:6" x14ac:dyDescent="0.2">
      <c r="A4259" t="s">
        <v>3824</v>
      </c>
      <c r="B4259" s="1">
        <v>1328571</v>
      </c>
      <c r="C4259" s="1">
        <v>4813</v>
      </c>
      <c r="D4259" s="2">
        <v>42443</v>
      </c>
      <c r="E4259" s="1" t="s">
        <v>18</v>
      </c>
      <c r="F4259" t="str">
        <f>HYPERLINK("http://www.sec.gov/Archives/edgar/data/1328571/0001328571-16-000087-index.html")</f>
        <v>http://www.sec.gov/Archives/edgar/data/1328571/0001328571-16-000087-index.html</v>
      </c>
    </row>
    <row r="4260" spans="1:6" x14ac:dyDescent="0.2">
      <c r="A4260" t="s">
        <v>3825</v>
      </c>
      <c r="B4260" s="1">
        <v>1333493</v>
      </c>
      <c r="C4260" s="1">
        <v>6411</v>
      </c>
      <c r="D4260" s="2">
        <v>42443</v>
      </c>
      <c r="E4260" s="1" t="s">
        <v>18</v>
      </c>
      <c r="F4260" t="str">
        <f>HYPERLINK("http://www.sec.gov/Archives/edgar/data/1333493/0001333493-16-000078-index.html")</f>
        <v>http://www.sec.gov/Archives/edgar/data/1333493/0001333493-16-000078-index.html</v>
      </c>
    </row>
    <row r="4261" spans="1:6" x14ac:dyDescent="0.2">
      <c r="A4261" t="s">
        <v>3826</v>
      </c>
      <c r="B4261" s="1">
        <v>1340652</v>
      </c>
      <c r="C4261" s="1">
        <v>2834</v>
      </c>
      <c r="D4261" s="2">
        <v>42443</v>
      </c>
      <c r="E4261" s="1" t="s">
        <v>18</v>
      </c>
      <c r="F4261" t="str">
        <f>HYPERLINK("http://www.sec.gov/Archives/edgar/data/1340652/0001193125-16-503608-index.html")</f>
        <v>http://www.sec.gov/Archives/edgar/data/1340652/0001193125-16-503608-index.html</v>
      </c>
    </row>
    <row r="4262" spans="1:6" x14ac:dyDescent="0.2">
      <c r="A4262" t="s">
        <v>3827</v>
      </c>
      <c r="B4262" s="1">
        <v>1340786</v>
      </c>
      <c r="C4262" s="1">
        <v>3714</v>
      </c>
      <c r="D4262" s="2">
        <v>42443</v>
      </c>
      <c r="E4262" s="1" t="s">
        <v>18</v>
      </c>
      <c r="F4262" t="str">
        <f>HYPERLINK("http://www.sec.gov/Archives/edgar/data/1340786/0001564590-16-014718-index.html")</f>
        <v>http://www.sec.gov/Archives/edgar/data/1340786/0001564590-16-014718-index.html</v>
      </c>
    </row>
    <row r="4263" spans="1:6" x14ac:dyDescent="0.2">
      <c r="A4263" t="s">
        <v>3828</v>
      </c>
      <c r="B4263" s="1">
        <v>1342126</v>
      </c>
      <c r="C4263" s="1">
        <v>7011</v>
      </c>
      <c r="D4263" s="2">
        <v>42443</v>
      </c>
      <c r="E4263" s="1" t="s">
        <v>18</v>
      </c>
      <c r="F4263" t="str">
        <f>HYPERLINK("http://www.sec.gov/Archives/edgar/data/1342126/0001564590-16-014693-index.html")</f>
        <v>http://www.sec.gov/Archives/edgar/data/1342126/0001564590-16-014693-index.html</v>
      </c>
    </row>
    <row r="4264" spans="1:6" x14ac:dyDescent="0.2">
      <c r="A4264" t="s">
        <v>3829</v>
      </c>
      <c r="B4264" s="1">
        <v>1345801</v>
      </c>
      <c r="C4264" s="1">
        <v>6221</v>
      </c>
      <c r="D4264" s="2">
        <v>42443</v>
      </c>
      <c r="E4264" s="1" t="s">
        <v>18</v>
      </c>
      <c r="F4264" t="str">
        <f>HYPERLINK("http://www.sec.gov/Archives/edgar/data/1345801/0001193125-16-503111-index.html")</f>
        <v>http://www.sec.gov/Archives/edgar/data/1345801/0001193125-16-503111-index.html</v>
      </c>
    </row>
    <row r="4265" spans="1:6" x14ac:dyDescent="0.2">
      <c r="A4265" t="s">
        <v>3830</v>
      </c>
      <c r="B4265" s="1">
        <v>1347652</v>
      </c>
      <c r="C4265" s="1">
        <v>6798</v>
      </c>
      <c r="D4265" s="2">
        <v>42443</v>
      </c>
      <c r="E4265" s="1" t="s">
        <v>18</v>
      </c>
      <c r="F4265" t="str">
        <f>HYPERLINK("http://www.sec.gov/Archives/edgar/data/1347652/0001347652-16-000016-index.html")</f>
        <v>http://www.sec.gov/Archives/edgar/data/1347652/0001347652-16-000016-index.html</v>
      </c>
    </row>
    <row r="4266" spans="1:6" x14ac:dyDescent="0.2">
      <c r="A4266" t="s">
        <v>3831</v>
      </c>
      <c r="B4266" s="1">
        <v>1351051</v>
      </c>
      <c r="C4266" s="1">
        <v>8051</v>
      </c>
      <c r="D4266" s="2">
        <v>42443</v>
      </c>
      <c r="E4266" s="1" t="s">
        <v>18</v>
      </c>
      <c r="F4266" t="str">
        <f>HYPERLINK("http://www.sec.gov/Archives/edgar/data/1351051/0001558370-16-004101-index.html")</f>
        <v>http://www.sec.gov/Archives/edgar/data/1351051/0001558370-16-004101-index.html</v>
      </c>
    </row>
    <row r="4267" spans="1:6" x14ac:dyDescent="0.2">
      <c r="A4267" t="s">
        <v>3832</v>
      </c>
      <c r="B4267" s="1">
        <v>1351285</v>
      </c>
      <c r="C4267" s="1">
        <v>7372</v>
      </c>
      <c r="D4267" s="2">
        <v>42443</v>
      </c>
      <c r="E4267" s="1" t="s">
        <v>18</v>
      </c>
      <c r="F4267" t="str">
        <f>HYPERLINK("http://www.sec.gov/Archives/edgar/data/1351285/0001351285-16-000100-index.html")</f>
        <v>http://www.sec.gov/Archives/edgar/data/1351285/0001351285-16-000100-index.html</v>
      </c>
    </row>
    <row r="4268" spans="1:6" x14ac:dyDescent="0.2">
      <c r="A4268" t="s">
        <v>3833</v>
      </c>
      <c r="B4268" s="1">
        <v>1355839</v>
      </c>
      <c r="C4268" s="1">
        <v>7389</v>
      </c>
      <c r="D4268" s="2">
        <v>42443</v>
      </c>
      <c r="E4268" s="1" t="s">
        <v>18</v>
      </c>
      <c r="F4268" t="str">
        <f>HYPERLINK("http://www.sec.gov/Archives/edgar/data/1355839/0001213900-16-011557-index.html")</f>
        <v>http://www.sec.gov/Archives/edgar/data/1355839/0001213900-16-011557-index.html</v>
      </c>
    </row>
    <row r="4269" spans="1:6" x14ac:dyDescent="0.2">
      <c r="A4269" t="s">
        <v>3834</v>
      </c>
      <c r="B4269" s="1">
        <v>1357459</v>
      </c>
      <c r="C4269" s="1">
        <v>2836</v>
      </c>
      <c r="D4269" s="2">
        <v>42443</v>
      </c>
      <c r="E4269" s="1" t="s">
        <v>18</v>
      </c>
      <c r="F4269" t="str">
        <f>HYPERLINK("http://www.sec.gov/Archives/edgar/data/1357459/0001144204-16-087765-index.html")</f>
        <v>http://www.sec.gov/Archives/edgar/data/1357459/0001144204-16-087765-index.html</v>
      </c>
    </row>
    <row r="4270" spans="1:6" x14ac:dyDescent="0.2">
      <c r="A4270" t="s">
        <v>3835</v>
      </c>
      <c r="B4270" s="1">
        <v>1358403</v>
      </c>
      <c r="C4270" s="1">
        <v>2834</v>
      </c>
      <c r="D4270" s="2">
        <v>42443</v>
      </c>
      <c r="E4270" s="1" t="s">
        <v>18</v>
      </c>
      <c r="F4270" t="str">
        <f>HYPERLINK("http://www.sec.gov/Archives/edgar/data/1358403/0001358403-16-000158-index.html")</f>
        <v>http://www.sec.gov/Archives/edgar/data/1358403/0001358403-16-000158-index.html</v>
      </c>
    </row>
    <row r="4271" spans="1:6" x14ac:dyDescent="0.2">
      <c r="A4271" t="s">
        <v>3836</v>
      </c>
      <c r="B4271" s="1">
        <v>1359931</v>
      </c>
      <c r="C4271" s="1">
        <v>2836</v>
      </c>
      <c r="D4271" s="2">
        <v>42443</v>
      </c>
      <c r="E4271" s="1" t="s">
        <v>18</v>
      </c>
      <c r="F4271" t="str">
        <f>HYPERLINK("http://www.sec.gov/Archives/edgar/data/1359931/0001171843-16-008541-index.html")</f>
        <v>http://www.sec.gov/Archives/edgar/data/1359931/0001171843-16-008541-index.html</v>
      </c>
    </row>
    <row r="4272" spans="1:6" x14ac:dyDescent="0.2">
      <c r="A4272" t="s">
        <v>3837</v>
      </c>
      <c r="B4272" s="1">
        <v>1371782</v>
      </c>
      <c r="C4272" s="1">
        <v>1311</v>
      </c>
      <c r="D4272" s="2">
        <v>42443</v>
      </c>
      <c r="E4272" s="1" t="s">
        <v>18</v>
      </c>
      <c r="F4272" t="str">
        <f>HYPERLINK("http://www.sec.gov/Archives/edgar/data/1371782/0001047469-16-011118-index.html")</f>
        <v>http://www.sec.gov/Archives/edgar/data/1371782/0001047469-16-011118-index.html</v>
      </c>
    </row>
    <row r="4273" spans="1:6" x14ac:dyDescent="0.2">
      <c r="A4273" t="s">
        <v>3838</v>
      </c>
      <c r="B4273" s="1">
        <v>1378453</v>
      </c>
      <c r="C4273" s="1">
        <v>5500</v>
      </c>
      <c r="D4273" s="2">
        <v>42443</v>
      </c>
      <c r="E4273" s="1" t="s">
        <v>18</v>
      </c>
      <c r="F4273" t="str">
        <f>HYPERLINK("http://www.sec.gov/Archives/edgar/data/1378453/0001378453-16-000040-index.html")</f>
        <v>http://www.sec.gov/Archives/edgar/data/1378453/0001378453-16-000040-index.html</v>
      </c>
    </row>
    <row r="4274" spans="1:6" x14ac:dyDescent="0.2">
      <c r="A4274" t="s">
        <v>3839</v>
      </c>
      <c r="B4274" s="1">
        <v>1378624</v>
      </c>
      <c r="C4274" s="1">
        <v>2836</v>
      </c>
      <c r="D4274" s="2">
        <v>42443</v>
      </c>
      <c r="E4274" s="1" t="s">
        <v>18</v>
      </c>
      <c r="F4274" t="str">
        <f>HYPERLINK("http://www.sec.gov/Archives/edgar/data/1378624/0001354488-16-006531-index.html")</f>
        <v>http://www.sec.gov/Archives/edgar/data/1378624/0001354488-16-006531-index.html</v>
      </c>
    </row>
    <row r="4275" spans="1:6" x14ac:dyDescent="0.2">
      <c r="A4275" t="s">
        <v>3840</v>
      </c>
      <c r="B4275" s="1">
        <v>1384101</v>
      </c>
      <c r="C4275" s="1">
        <v>8071</v>
      </c>
      <c r="D4275" s="2">
        <v>42443</v>
      </c>
      <c r="E4275" s="1" t="s">
        <v>18</v>
      </c>
      <c r="F4275" t="str">
        <f>HYPERLINK("http://www.sec.gov/Archives/edgar/data/1384101/0001047469-16-011115-index.html")</f>
        <v>http://www.sec.gov/Archives/edgar/data/1384101/0001047469-16-011115-index.html</v>
      </c>
    </row>
    <row r="4276" spans="1:6" x14ac:dyDescent="0.2">
      <c r="A4276" t="s">
        <v>3841</v>
      </c>
      <c r="B4276" s="1">
        <v>1399249</v>
      </c>
      <c r="C4276" s="1">
        <v>6282</v>
      </c>
      <c r="D4276" s="2">
        <v>42443</v>
      </c>
      <c r="E4276" s="1" t="s">
        <v>18</v>
      </c>
      <c r="F4276" t="str">
        <f>HYPERLINK("http://www.sec.gov/Archives/edgar/data/1399249/0001399249-16-000071-index.html")</f>
        <v>http://www.sec.gov/Archives/edgar/data/1399249/0001399249-16-000071-index.html</v>
      </c>
    </row>
    <row r="4277" spans="1:6" x14ac:dyDescent="0.2">
      <c r="A4277" t="s">
        <v>3842</v>
      </c>
      <c r="B4277" s="1">
        <v>1403853</v>
      </c>
      <c r="C4277" s="1">
        <v>1389</v>
      </c>
      <c r="D4277" s="2">
        <v>42443</v>
      </c>
      <c r="E4277" s="1" t="s">
        <v>18</v>
      </c>
      <c r="F4277" t="str">
        <f>HYPERLINK("http://www.sec.gov/Archives/edgar/data/1403853/0001403853-16-000049-index.html")</f>
        <v>http://www.sec.gov/Archives/edgar/data/1403853/0001403853-16-000049-index.html</v>
      </c>
    </row>
    <row r="4278" spans="1:6" x14ac:dyDescent="0.2">
      <c r="A4278" t="s">
        <v>3843</v>
      </c>
      <c r="B4278" s="1">
        <v>1404644</v>
      </c>
      <c r="C4278" s="1">
        <v>2834</v>
      </c>
      <c r="D4278" s="2">
        <v>42443</v>
      </c>
      <c r="E4278" s="1" t="s">
        <v>18</v>
      </c>
      <c r="F4278" t="str">
        <f>HYPERLINK("http://www.sec.gov/Archives/edgar/data/1404644/0001193125-16-503435-index.html")</f>
        <v>http://www.sec.gov/Archives/edgar/data/1404644/0001193125-16-503435-index.html</v>
      </c>
    </row>
    <row r="4279" spans="1:6" x14ac:dyDescent="0.2">
      <c r="A4279" t="s">
        <v>3844</v>
      </c>
      <c r="B4279" s="1">
        <v>1410172</v>
      </c>
      <c r="C4279" s="1">
        <v>3674</v>
      </c>
      <c r="D4279" s="2">
        <v>42443</v>
      </c>
      <c r="E4279" s="1" t="s">
        <v>18</v>
      </c>
      <c r="F4279" t="str">
        <f>HYPERLINK("http://www.sec.gov/Archives/edgar/data/1410172/0001193125-16-502855-index.html")</f>
        <v>http://www.sec.gov/Archives/edgar/data/1410172/0001193125-16-502855-index.html</v>
      </c>
    </row>
    <row r="4280" spans="1:6" x14ac:dyDescent="0.2">
      <c r="A4280" t="s">
        <v>3845</v>
      </c>
      <c r="B4280" s="1">
        <v>1412067</v>
      </c>
      <c r="C4280" s="1">
        <v>8731</v>
      </c>
      <c r="D4280" s="2">
        <v>42443</v>
      </c>
      <c r="E4280" s="1" t="s">
        <v>18</v>
      </c>
      <c r="F4280" t="str">
        <f>HYPERLINK("http://www.sec.gov/Archives/edgar/data/1412067/0001193125-16-503582-index.html")</f>
        <v>http://www.sec.gov/Archives/edgar/data/1412067/0001193125-16-503582-index.html</v>
      </c>
    </row>
    <row r="4281" spans="1:6" x14ac:dyDescent="0.2">
      <c r="A4281" t="s">
        <v>3846</v>
      </c>
      <c r="B4281" s="1">
        <v>1412347</v>
      </c>
      <c r="C4281" s="1">
        <v>1221</v>
      </c>
      <c r="D4281" s="2">
        <v>42443</v>
      </c>
      <c r="E4281" s="1" t="s">
        <v>18</v>
      </c>
      <c r="F4281" t="str">
        <f>HYPERLINK("http://www.sec.gov/Archives/edgar/data/1412347/0001412347-16-000078-index.html")</f>
        <v>http://www.sec.gov/Archives/edgar/data/1412347/0001412347-16-000078-index.html</v>
      </c>
    </row>
    <row r="4282" spans="1:6" x14ac:dyDescent="0.2">
      <c r="A4282" t="s">
        <v>3847</v>
      </c>
      <c r="B4282" s="1">
        <v>1412502</v>
      </c>
      <c r="C4282" s="1">
        <v>6798</v>
      </c>
      <c r="D4282" s="2">
        <v>42443</v>
      </c>
      <c r="E4282" s="1" t="s">
        <v>18</v>
      </c>
      <c r="F4282" t="str">
        <f>HYPERLINK("http://www.sec.gov/Archives/edgar/data/1412502/0001558370-16-004086-index.html")</f>
        <v>http://www.sec.gov/Archives/edgar/data/1412502/0001558370-16-004086-index.html</v>
      </c>
    </row>
    <row r="4283" spans="1:6" x14ac:dyDescent="0.2">
      <c r="A4283" t="s">
        <v>3848</v>
      </c>
      <c r="B4283" s="1">
        <v>1431766</v>
      </c>
      <c r="C4283" s="1">
        <v>6512</v>
      </c>
      <c r="D4283" s="2">
        <v>42443</v>
      </c>
      <c r="E4283" s="1" t="s">
        <v>18</v>
      </c>
      <c r="F4283" t="str">
        <f>HYPERLINK("http://www.sec.gov/Archives/edgar/data/1431766/0001171520-16-000876-index.html")</f>
        <v>http://www.sec.gov/Archives/edgar/data/1431766/0001171520-16-000876-index.html</v>
      </c>
    </row>
    <row r="4284" spans="1:6" x14ac:dyDescent="0.2">
      <c r="A4284" t="s">
        <v>3849</v>
      </c>
      <c r="B4284" s="1">
        <v>1432150</v>
      </c>
      <c r="C4284" s="1">
        <v>3674</v>
      </c>
      <c r="D4284" s="2">
        <v>42443</v>
      </c>
      <c r="E4284" s="1" t="s">
        <v>18</v>
      </c>
      <c r="F4284" t="str">
        <f>HYPERLINK("http://www.sec.gov/Archives/edgar/data/1432150/0001140361-16-057556-index.html")</f>
        <v>http://www.sec.gov/Archives/edgar/data/1432150/0001140361-16-057556-index.html</v>
      </c>
    </row>
    <row r="4285" spans="1:6" x14ac:dyDescent="0.2">
      <c r="A4285" t="s">
        <v>3850</v>
      </c>
      <c r="B4285" s="1">
        <v>1433269</v>
      </c>
      <c r="C4285" s="1">
        <v>7372</v>
      </c>
      <c r="D4285" s="2">
        <v>42443</v>
      </c>
      <c r="E4285" s="1" t="s">
        <v>18</v>
      </c>
      <c r="F4285" t="str">
        <f>HYPERLINK("http://www.sec.gov/Archives/edgar/data/1433269/0001047469-16-011110-index.html")</f>
        <v>http://www.sec.gov/Archives/edgar/data/1433269/0001047469-16-011110-index.html</v>
      </c>
    </row>
    <row r="4286" spans="1:6" x14ac:dyDescent="0.2">
      <c r="A4286" t="s">
        <v>3851</v>
      </c>
      <c r="B4286" s="1">
        <v>1436425</v>
      </c>
      <c r="C4286" s="1">
        <v>6036</v>
      </c>
      <c r="D4286" s="2">
        <v>42443</v>
      </c>
      <c r="E4286" s="1" t="s">
        <v>18</v>
      </c>
      <c r="F4286" t="str">
        <f>HYPERLINK("http://www.sec.gov/Archives/edgar/data/1436425/0001193125-16-503074-index.html")</f>
        <v>http://www.sec.gov/Archives/edgar/data/1436425/0001193125-16-503074-index.html</v>
      </c>
    </row>
    <row r="4287" spans="1:6" x14ac:dyDescent="0.2">
      <c r="A4287" t="s">
        <v>3852</v>
      </c>
      <c r="B4287" s="1">
        <v>1444598</v>
      </c>
      <c r="C4287" s="1">
        <v>7389</v>
      </c>
      <c r="D4287" s="2">
        <v>42443</v>
      </c>
      <c r="E4287" s="1" t="s">
        <v>18</v>
      </c>
      <c r="F4287" t="str">
        <f>HYPERLINK("http://www.sec.gov/Archives/edgar/data/1444598/0001193125-16-503653-index.html")</f>
        <v>http://www.sec.gov/Archives/edgar/data/1444598/0001193125-16-503653-index.html</v>
      </c>
    </row>
    <row r="4288" spans="1:6" x14ac:dyDescent="0.2">
      <c r="A4288" t="s">
        <v>3853</v>
      </c>
      <c r="B4288" s="1">
        <v>1447051</v>
      </c>
      <c r="C4288" s="1">
        <v>6035</v>
      </c>
      <c r="D4288" s="2">
        <v>42443</v>
      </c>
      <c r="E4288" s="1" t="s">
        <v>18</v>
      </c>
      <c r="F4288" t="str">
        <f>HYPERLINK("http://www.sec.gov/Archives/edgar/data/1447051/0001104659-16-104824-index.html")</f>
        <v>http://www.sec.gov/Archives/edgar/data/1447051/0001104659-16-104824-index.html</v>
      </c>
    </row>
    <row r="4289" spans="1:6" x14ac:dyDescent="0.2">
      <c r="A4289" t="s">
        <v>3854</v>
      </c>
      <c r="B4289" s="1">
        <v>1462120</v>
      </c>
      <c r="C4289" s="1">
        <v>6022</v>
      </c>
      <c r="D4289" s="2">
        <v>42443</v>
      </c>
      <c r="E4289" s="1" t="s">
        <v>18</v>
      </c>
      <c r="F4289" t="str">
        <f>HYPERLINK("http://www.sec.gov/Archives/edgar/data/1462120/0001462120-16-000016-index.html")</f>
        <v>http://www.sec.gov/Archives/edgar/data/1462120/0001462120-16-000016-index.html</v>
      </c>
    </row>
    <row r="4290" spans="1:6" x14ac:dyDescent="0.2">
      <c r="A4290" t="s">
        <v>3855</v>
      </c>
      <c r="B4290" s="1">
        <v>1463258</v>
      </c>
      <c r="C4290" s="1">
        <v>2860</v>
      </c>
      <c r="D4290" s="2">
        <v>42443</v>
      </c>
      <c r="E4290" s="1" t="s">
        <v>18</v>
      </c>
      <c r="F4290" t="str">
        <f>HYPERLINK("http://www.sec.gov/Archives/edgar/data/1463258/0001628280-16-012666-index.html")</f>
        <v>http://www.sec.gov/Archives/edgar/data/1463258/0001628280-16-012666-index.html</v>
      </c>
    </row>
    <row r="4291" spans="1:6" x14ac:dyDescent="0.2">
      <c r="A4291" t="s">
        <v>3856</v>
      </c>
      <c r="B4291" s="1">
        <v>1469134</v>
      </c>
      <c r="C4291" s="1">
        <v>6022</v>
      </c>
      <c r="D4291" s="2">
        <v>42443</v>
      </c>
      <c r="E4291" s="1" t="s">
        <v>18</v>
      </c>
      <c r="F4291" t="str">
        <f>HYPERLINK("http://www.sec.gov/Archives/edgar/data/1469134/0001469134-16-000157-index.html")</f>
        <v>http://www.sec.gov/Archives/edgar/data/1469134/0001469134-16-000157-index.html</v>
      </c>
    </row>
    <row r="4292" spans="1:6" x14ac:dyDescent="0.2">
      <c r="A4292" t="s">
        <v>3857</v>
      </c>
      <c r="B4292" s="1">
        <v>1477200</v>
      </c>
      <c r="C4292" s="1">
        <v>7370</v>
      </c>
      <c r="D4292" s="2">
        <v>42443</v>
      </c>
      <c r="E4292" s="1" t="s">
        <v>18</v>
      </c>
      <c r="F4292" t="str">
        <f>HYPERLINK("http://www.sec.gov/Archives/edgar/data/1477200/0001477200-16-000159-index.html")</f>
        <v>http://www.sec.gov/Archives/edgar/data/1477200/0001477200-16-000159-index.html</v>
      </c>
    </row>
    <row r="4293" spans="1:6" x14ac:dyDescent="0.2">
      <c r="A4293" t="s">
        <v>3858</v>
      </c>
      <c r="B4293" s="1">
        <v>1481832</v>
      </c>
      <c r="C4293" s="1">
        <v>6798</v>
      </c>
      <c r="D4293" s="2">
        <v>42443</v>
      </c>
      <c r="E4293" s="1" t="s">
        <v>18</v>
      </c>
      <c r="F4293" t="str">
        <f>HYPERLINK("http://www.sec.gov/Archives/edgar/data/1481832/0001481832-16-000103-index.html")</f>
        <v>http://www.sec.gov/Archives/edgar/data/1481832/0001481832-16-000103-index.html</v>
      </c>
    </row>
    <row r="4294" spans="1:6" x14ac:dyDescent="0.2">
      <c r="A4294" t="s">
        <v>3859</v>
      </c>
      <c r="B4294" s="1">
        <v>1482430</v>
      </c>
      <c r="C4294" s="1">
        <v>6798</v>
      </c>
      <c r="D4294" s="2">
        <v>42443</v>
      </c>
      <c r="E4294" s="1" t="s">
        <v>18</v>
      </c>
      <c r="F4294" t="str">
        <f>HYPERLINK("http://www.sec.gov/Archives/edgar/data/1482430/0001482430-16-000105-index.html")</f>
        <v>http://www.sec.gov/Archives/edgar/data/1482430/0001482430-16-000105-index.html</v>
      </c>
    </row>
    <row r="4295" spans="1:6" x14ac:dyDescent="0.2">
      <c r="A4295" t="s">
        <v>3860</v>
      </c>
      <c r="B4295" s="1">
        <v>1486299</v>
      </c>
      <c r="C4295" s="1">
        <v>200</v>
      </c>
      <c r="D4295" s="2">
        <v>42443</v>
      </c>
      <c r="E4295" s="1" t="s">
        <v>18</v>
      </c>
      <c r="F4295" t="str">
        <f>HYPERLINK("http://www.sec.gov/Archives/edgar/data/1486299/0001193805-16-002823-index.html")</f>
        <v>http://www.sec.gov/Archives/edgar/data/1486299/0001193805-16-002823-index.html</v>
      </c>
    </row>
    <row r="4296" spans="1:6" x14ac:dyDescent="0.2">
      <c r="A4296" t="s">
        <v>3861</v>
      </c>
      <c r="B4296" s="1">
        <v>1486640</v>
      </c>
      <c r="C4296" s="1">
        <v>3841</v>
      </c>
      <c r="D4296" s="2">
        <v>42443</v>
      </c>
      <c r="E4296" s="1" t="s">
        <v>18</v>
      </c>
      <c r="F4296" t="str">
        <f>HYPERLINK("http://www.sec.gov/Archives/edgar/data/1486640/0001657250-16-000040-index.html")</f>
        <v>http://www.sec.gov/Archives/edgar/data/1486640/0001657250-16-000040-index.html</v>
      </c>
    </row>
    <row r="4297" spans="1:6" x14ac:dyDescent="0.2">
      <c r="A4297" t="s">
        <v>3862</v>
      </c>
      <c r="B4297" s="1">
        <v>1494448</v>
      </c>
      <c r="C4297" s="1">
        <v>6311</v>
      </c>
      <c r="D4297" s="2">
        <v>42443</v>
      </c>
      <c r="E4297" s="1" t="s">
        <v>18</v>
      </c>
      <c r="F4297" t="str">
        <f>HYPERLINK("http://www.sec.gov/Archives/edgar/data/1494448/0001494448-16-000008-index.html")</f>
        <v>http://www.sec.gov/Archives/edgar/data/1494448/0001494448-16-000008-index.html</v>
      </c>
    </row>
    <row r="4298" spans="1:6" x14ac:dyDescent="0.2">
      <c r="A4298" t="s">
        <v>3863</v>
      </c>
      <c r="B4298" s="1">
        <v>1494904</v>
      </c>
      <c r="C4298" s="1">
        <v>6331</v>
      </c>
      <c r="D4298" s="2">
        <v>42443</v>
      </c>
      <c r="E4298" s="1" t="s">
        <v>18</v>
      </c>
      <c r="F4298" t="str">
        <f>HYPERLINK("http://www.sec.gov/Archives/edgar/data/1494904/0001193125-16-503372-index.html")</f>
        <v>http://www.sec.gov/Archives/edgar/data/1494904/0001193125-16-503372-index.html</v>
      </c>
    </row>
    <row r="4299" spans="1:6" x14ac:dyDescent="0.2">
      <c r="A4299" t="s">
        <v>3864</v>
      </c>
      <c r="B4299" s="1">
        <v>1509692</v>
      </c>
      <c r="C4299" s="1">
        <v>1382</v>
      </c>
      <c r="D4299" s="2">
        <v>42443</v>
      </c>
      <c r="E4299" s="1" t="s">
        <v>42</v>
      </c>
      <c r="F4299" t="str">
        <f>HYPERLINK("http://www.sec.gov/Archives/edgar/data/1509692/0001127855-16-000553-index.html")</f>
        <v>http://www.sec.gov/Archives/edgar/data/1509692/0001127855-16-000553-index.html</v>
      </c>
    </row>
    <row r="4300" spans="1:6" x14ac:dyDescent="0.2">
      <c r="A4300" t="s">
        <v>3865</v>
      </c>
      <c r="B4300" s="1">
        <v>1512499</v>
      </c>
      <c r="C4300" s="1">
        <v>4700</v>
      </c>
      <c r="D4300" s="2">
        <v>42443</v>
      </c>
      <c r="E4300" s="1" t="s">
        <v>18</v>
      </c>
      <c r="F4300" t="str">
        <f>HYPERLINK("http://www.sec.gov/Archives/edgar/data/1512499/0001213900-16-011585-index.html")</f>
        <v>http://www.sec.gov/Archives/edgar/data/1512499/0001213900-16-011585-index.html</v>
      </c>
    </row>
    <row r="4301" spans="1:6" x14ac:dyDescent="0.2">
      <c r="A4301" t="s">
        <v>3866</v>
      </c>
      <c r="B4301" s="1">
        <v>1517022</v>
      </c>
      <c r="C4301" s="1">
        <v>2834</v>
      </c>
      <c r="D4301" s="2">
        <v>42443</v>
      </c>
      <c r="E4301" s="1" t="s">
        <v>18</v>
      </c>
      <c r="F4301" t="str">
        <f>HYPERLINK("http://www.sec.gov/Archives/edgar/data/1517022/0001564590-16-014700-index.html")</f>
        <v>http://www.sec.gov/Archives/edgar/data/1517022/0001564590-16-014700-index.html</v>
      </c>
    </row>
    <row r="4302" spans="1:6" x14ac:dyDescent="0.2">
      <c r="A4302" t="s">
        <v>3867</v>
      </c>
      <c r="B4302" s="1">
        <v>1520300</v>
      </c>
      <c r="C4302" s="1">
        <v>6035</v>
      </c>
      <c r="D4302" s="2">
        <v>42443</v>
      </c>
      <c r="E4302" s="1" t="s">
        <v>18</v>
      </c>
      <c r="F4302" t="str">
        <f>HYPERLINK("http://www.sec.gov/Archives/edgar/data/1520300/0001140361-16-057564-index.html")</f>
        <v>http://www.sec.gov/Archives/edgar/data/1520300/0001140361-16-057564-index.html</v>
      </c>
    </row>
    <row r="4303" spans="1:6" x14ac:dyDescent="0.2">
      <c r="A4303" t="s">
        <v>3868</v>
      </c>
      <c r="B4303" s="1">
        <v>1522699</v>
      </c>
      <c r="C4303" s="1">
        <v>6221</v>
      </c>
      <c r="D4303" s="2">
        <v>42443</v>
      </c>
      <c r="E4303" s="1" t="s">
        <v>18</v>
      </c>
      <c r="F4303" t="str">
        <f>HYPERLINK("http://www.sec.gov/Archives/edgar/data/1522699/0001193125-16-503128-index.html")</f>
        <v>http://www.sec.gov/Archives/edgar/data/1522699/0001193125-16-503128-index.html</v>
      </c>
    </row>
    <row r="4304" spans="1:6" x14ac:dyDescent="0.2">
      <c r="A4304" t="s">
        <v>3869</v>
      </c>
      <c r="B4304" s="1">
        <v>1524223</v>
      </c>
      <c r="C4304" s="1">
        <v>6282</v>
      </c>
      <c r="D4304" s="2">
        <v>42443</v>
      </c>
      <c r="E4304" s="1" t="s">
        <v>18</v>
      </c>
      <c r="F4304" t="str">
        <f>HYPERLINK("http://www.sec.gov/Archives/edgar/data/1524223/0001524223-16-000027-index.html")</f>
        <v>http://www.sec.gov/Archives/edgar/data/1524223/0001524223-16-000027-index.html</v>
      </c>
    </row>
    <row r="4305" spans="1:6" x14ac:dyDescent="0.2">
      <c r="A4305" t="s">
        <v>3870</v>
      </c>
      <c r="B4305" s="1">
        <v>1527383</v>
      </c>
      <c r="C4305" s="1">
        <v>6029</v>
      </c>
      <c r="D4305" s="2">
        <v>42443</v>
      </c>
      <c r="E4305" s="1" t="s">
        <v>18</v>
      </c>
      <c r="F4305" t="str">
        <f>HYPERLINK("http://www.sec.gov/Archives/edgar/data/1527383/0001564590-16-014637-index.html")</f>
        <v>http://www.sec.gov/Archives/edgar/data/1527383/0001564590-16-014637-index.html</v>
      </c>
    </row>
    <row r="4306" spans="1:6" x14ac:dyDescent="0.2">
      <c r="A4306" t="s">
        <v>3871</v>
      </c>
      <c r="B4306" s="1">
        <v>1530766</v>
      </c>
      <c r="C4306" s="1">
        <v>3845</v>
      </c>
      <c r="D4306" s="2">
        <v>42443</v>
      </c>
      <c r="E4306" s="1" t="s">
        <v>18</v>
      </c>
      <c r="F4306" t="str">
        <f>HYPERLINK("http://www.sec.gov/Archives/edgar/data/1530766/0001185185-16-003899-index.html")</f>
        <v>http://www.sec.gov/Archives/edgar/data/1530766/0001185185-16-003899-index.html</v>
      </c>
    </row>
    <row r="4307" spans="1:6" x14ac:dyDescent="0.2">
      <c r="A4307" t="s">
        <v>3872</v>
      </c>
      <c r="B4307" s="1">
        <v>1534254</v>
      </c>
      <c r="C4307" s="1">
        <v>4400</v>
      </c>
      <c r="D4307" s="2">
        <v>42443</v>
      </c>
      <c r="E4307" s="1" t="s">
        <v>18</v>
      </c>
      <c r="F4307" t="str">
        <f>HYPERLINK("http://www.sec.gov/Archives/edgar/data/1534254/0001534254-16-000210-index.html")</f>
        <v>http://www.sec.gov/Archives/edgar/data/1534254/0001534254-16-000210-index.html</v>
      </c>
    </row>
    <row r="4308" spans="1:6" x14ac:dyDescent="0.2">
      <c r="A4308" t="s">
        <v>3873</v>
      </c>
      <c r="B4308" s="1">
        <v>1543643</v>
      </c>
      <c r="C4308" s="1">
        <v>6021</v>
      </c>
      <c r="D4308" s="2">
        <v>42443</v>
      </c>
      <c r="E4308" s="1" t="s">
        <v>18</v>
      </c>
      <c r="F4308" t="str">
        <f>HYPERLINK("http://www.sec.gov/Archives/edgar/data/1543643/0001193125-16-503446-index.html")</f>
        <v>http://www.sec.gov/Archives/edgar/data/1543643/0001193125-16-503446-index.html</v>
      </c>
    </row>
    <row r="4309" spans="1:6" x14ac:dyDescent="0.2">
      <c r="A4309" t="s">
        <v>3874</v>
      </c>
      <c r="B4309" s="1">
        <v>1549084</v>
      </c>
      <c r="C4309" s="1">
        <v>3569</v>
      </c>
      <c r="D4309" s="2">
        <v>42443</v>
      </c>
      <c r="E4309" s="1" t="s">
        <v>18</v>
      </c>
      <c r="F4309" t="str">
        <f>HYPERLINK("http://www.sec.gov/Archives/edgar/data/1549084/0001144204-16-087881-index.html")</f>
        <v>http://www.sec.gov/Archives/edgar/data/1549084/0001144204-16-087881-index.html</v>
      </c>
    </row>
    <row r="4310" spans="1:6" x14ac:dyDescent="0.2">
      <c r="A4310" t="s">
        <v>3875</v>
      </c>
      <c r="B4310" s="1">
        <v>1556364</v>
      </c>
      <c r="C4310" s="1">
        <v>6798</v>
      </c>
      <c r="D4310" s="2">
        <v>42443</v>
      </c>
      <c r="E4310" s="1" t="s">
        <v>18</v>
      </c>
      <c r="F4310" t="str">
        <f>HYPERLINK("http://www.sec.gov/Archives/edgar/data/1556364/0000841501-16-000058-index.html")</f>
        <v>http://www.sec.gov/Archives/edgar/data/1556364/0000841501-16-000058-index.html</v>
      </c>
    </row>
    <row r="4311" spans="1:6" x14ac:dyDescent="0.2">
      <c r="A4311" t="s">
        <v>3876</v>
      </c>
      <c r="B4311" s="1">
        <v>1557421</v>
      </c>
      <c r="C4311" s="1">
        <v>2834</v>
      </c>
      <c r="D4311" s="2">
        <v>42443</v>
      </c>
      <c r="E4311" s="1" t="s">
        <v>18</v>
      </c>
      <c r="F4311" t="str">
        <f>HYPERLINK("http://www.sec.gov/Archives/edgar/data/1557421/0001193125-16-503432-index.html")</f>
        <v>http://www.sec.gov/Archives/edgar/data/1557421/0001193125-16-503432-index.html</v>
      </c>
    </row>
    <row r="4312" spans="1:6" x14ac:dyDescent="0.2">
      <c r="A4312" t="s">
        <v>3877</v>
      </c>
      <c r="B4312" s="1">
        <v>1567345</v>
      </c>
      <c r="C4312" s="1">
        <v>4841</v>
      </c>
      <c r="D4312" s="2">
        <v>42443</v>
      </c>
      <c r="E4312" s="1" t="s">
        <v>18</v>
      </c>
      <c r="F4312" t="str">
        <f>HYPERLINK("http://www.sec.gov/Archives/edgar/data/1567345/0001047469-16-011122-index.html")</f>
        <v>http://www.sec.gov/Archives/edgar/data/1567345/0001047469-16-011122-index.html</v>
      </c>
    </row>
    <row r="4313" spans="1:6" x14ac:dyDescent="0.2">
      <c r="A4313" t="s">
        <v>3878</v>
      </c>
      <c r="B4313" s="1">
        <v>1572684</v>
      </c>
      <c r="C4313" s="1">
        <v>1531</v>
      </c>
      <c r="D4313" s="2">
        <v>42443</v>
      </c>
      <c r="E4313" s="1" t="s">
        <v>18</v>
      </c>
      <c r="F4313" t="str">
        <f>HYPERLINK("http://www.sec.gov/Archives/edgar/data/1572684/0001572684-16-000037-index.html")</f>
        <v>http://www.sec.gov/Archives/edgar/data/1572684/0001572684-16-000037-index.html</v>
      </c>
    </row>
    <row r="4314" spans="1:6" x14ac:dyDescent="0.2">
      <c r="A4314" t="s">
        <v>3879</v>
      </c>
      <c r="B4314" s="1">
        <v>1580345</v>
      </c>
      <c r="C4314" s="1">
        <v>7310</v>
      </c>
      <c r="D4314" s="2">
        <v>42443</v>
      </c>
      <c r="E4314" s="1" t="s">
        <v>18</v>
      </c>
      <c r="F4314" t="str">
        <f>HYPERLINK("http://www.sec.gov/Archives/edgar/data/1580345/0001564590-16-014721-index.html")</f>
        <v>http://www.sec.gov/Archives/edgar/data/1580345/0001564590-16-014721-index.html</v>
      </c>
    </row>
    <row r="4315" spans="1:6" x14ac:dyDescent="0.2">
      <c r="A4315" t="s">
        <v>3880</v>
      </c>
      <c r="B4315" s="1">
        <v>1592058</v>
      </c>
      <c r="C4315" s="1">
        <v>5900</v>
      </c>
      <c r="D4315" s="2">
        <v>42443</v>
      </c>
      <c r="E4315" s="1" t="s">
        <v>18</v>
      </c>
      <c r="F4315" t="str">
        <f>HYPERLINK("http://www.sec.gov/Archives/edgar/data/1592058/0001193125-16-501808-index.html")</f>
        <v>http://www.sec.gov/Archives/edgar/data/1592058/0001193125-16-501808-index.html</v>
      </c>
    </row>
    <row r="4316" spans="1:6" x14ac:dyDescent="0.2">
      <c r="A4316" t="s">
        <v>3881</v>
      </c>
      <c r="B4316" s="1">
        <v>1593195</v>
      </c>
      <c r="C4316" s="1">
        <v>2711</v>
      </c>
      <c r="D4316" s="2">
        <v>42443</v>
      </c>
      <c r="E4316" s="1" t="s">
        <v>18</v>
      </c>
      <c r="F4316" t="str">
        <f>HYPERLINK("http://www.sec.gov/Archives/edgar/data/1593195/0001593195-16-000119-index.html")</f>
        <v>http://www.sec.gov/Archives/edgar/data/1593195/0001593195-16-000119-index.html</v>
      </c>
    </row>
    <row r="4317" spans="1:6" x14ac:dyDescent="0.2">
      <c r="A4317" t="s">
        <v>3882</v>
      </c>
      <c r="B4317" s="1">
        <v>1596961</v>
      </c>
      <c r="C4317" s="1">
        <v>7371</v>
      </c>
      <c r="D4317" s="2">
        <v>42443</v>
      </c>
      <c r="E4317" s="1" t="s">
        <v>18</v>
      </c>
      <c r="F4317" t="str">
        <f>HYPERLINK("http://www.sec.gov/Archives/edgar/data/1596961/0001393905-16-000769-index.html")</f>
        <v>http://www.sec.gov/Archives/edgar/data/1596961/0001393905-16-000769-index.html</v>
      </c>
    </row>
    <row r="4318" spans="1:6" x14ac:dyDescent="0.2">
      <c r="A4318" t="s">
        <v>3883</v>
      </c>
      <c r="B4318" s="1">
        <v>1596967</v>
      </c>
      <c r="C4318" s="1">
        <v>6282</v>
      </c>
      <c r="D4318" s="2">
        <v>42443</v>
      </c>
      <c r="E4318" s="1" t="s">
        <v>18</v>
      </c>
      <c r="F4318" t="str">
        <f>HYPERLINK("http://www.sec.gov/Archives/edgar/data/1596967/0001047469-16-011116-index.html")</f>
        <v>http://www.sec.gov/Archives/edgar/data/1596967/0001047469-16-011116-index.html</v>
      </c>
    </row>
    <row r="4319" spans="1:6" x14ac:dyDescent="0.2">
      <c r="A4319" t="s">
        <v>3884</v>
      </c>
      <c r="B4319" s="1">
        <v>1598646</v>
      </c>
      <c r="C4319" s="1">
        <v>2834</v>
      </c>
      <c r="D4319" s="2">
        <v>42443</v>
      </c>
      <c r="E4319" s="1" t="s">
        <v>18</v>
      </c>
      <c r="F4319" t="str">
        <f>HYPERLINK("http://www.sec.gov/Archives/edgar/data/1598646/0001564590-16-014641-index.html")</f>
        <v>http://www.sec.gov/Archives/edgar/data/1598646/0001564590-16-014641-index.html</v>
      </c>
    </row>
    <row r="4320" spans="1:6" x14ac:dyDescent="0.2">
      <c r="A4320" t="s">
        <v>3885</v>
      </c>
      <c r="B4320" s="1">
        <v>1605301</v>
      </c>
      <c r="C4320" s="1">
        <v>6022</v>
      </c>
      <c r="D4320" s="2">
        <v>42443</v>
      </c>
      <c r="E4320" s="1" t="s">
        <v>18</v>
      </c>
      <c r="F4320" t="str">
        <f>HYPERLINK("http://www.sec.gov/Archives/edgar/data/1605301/0001171843-16-008550-index.html")</f>
        <v>http://www.sec.gov/Archives/edgar/data/1605301/0001171843-16-008550-index.html</v>
      </c>
    </row>
    <row r="4321" spans="1:6" x14ac:dyDescent="0.2">
      <c r="A4321" t="s">
        <v>3886</v>
      </c>
      <c r="B4321" s="1">
        <v>1609351</v>
      </c>
      <c r="C4321" s="1">
        <v>2836</v>
      </c>
      <c r="D4321" s="2">
        <v>42443</v>
      </c>
      <c r="E4321" s="1" t="s">
        <v>18</v>
      </c>
      <c r="F4321" t="str">
        <f>HYPERLINK("http://www.sec.gov/Archives/edgar/data/1609351/0001609351-16-000020-index.html")</f>
        <v>http://www.sec.gov/Archives/edgar/data/1609351/0001609351-16-000020-index.html</v>
      </c>
    </row>
    <row r="4322" spans="1:6" x14ac:dyDescent="0.2">
      <c r="A4322" t="s">
        <v>3887</v>
      </c>
      <c r="B4322" s="1">
        <v>1609471</v>
      </c>
      <c r="C4322" s="1">
        <v>6798</v>
      </c>
      <c r="D4322" s="2">
        <v>42443</v>
      </c>
      <c r="E4322" s="1" t="s">
        <v>18</v>
      </c>
      <c r="F4322" t="str">
        <f>HYPERLINK("http://www.sec.gov/Archives/edgar/data/1609471/0001609471-16-000036-index.html")</f>
        <v>http://www.sec.gov/Archives/edgar/data/1609471/0001609471-16-000036-index.html</v>
      </c>
    </row>
    <row r="4323" spans="1:6" x14ac:dyDescent="0.2">
      <c r="A4323" t="s">
        <v>3888</v>
      </c>
      <c r="B4323" s="1">
        <v>1609809</v>
      </c>
      <c r="C4323" s="1">
        <v>2834</v>
      </c>
      <c r="D4323" s="2">
        <v>42443</v>
      </c>
      <c r="E4323" s="1" t="s">
        <v>18</v>
      </c>
      <c r="F4323" t="str">
        <f>HYPERLINK("http://www.sec.gov/Archives/edgar/data/1609809/0001564590-16-014692-index.html")</f>
        <v>http://www.sec.gov/Archives/edgar/data/1609809/0001564590-16-014692-index.html</v>
      </c>
    </row>
    <row r="4324" spans="1:6" x14ac:dyDescent="0.2">
      <c r="A4324" t="s">
        <v>3889</v>
      </c>
      <c r="B4324" s="1">
        <v>1611647</v>
      </c>
      <c r="C4324" s="1">
        <v>2040</v>
      </c>
      <c r="D4324" s="2">
        <v>42443</v>
      </c>
      <c r="E4324" s="1" t="s">
        <v>18</v>
      </c>
      <c r="F4324" t="str">
        <f>HYPERLINK("http://www.sec.gov/Archives/edgar/data/1611647/0001564590-16-014697-index.html")</f>
        <v>http://www.sec.gov/Archives/edgar/data/1611647/0001564590-16-014697-index.html</v>
      </c>
    </row>
    <row r="4325" spans="1:6" x14ac:dyDescent="0.2">
      <c r="A4325" t="s">
        <v>3890</v>
      </c>
      <c r="B4325" s="1">
        <v>1617896</v>
      </c>
      <c r="C4325" s="1">
        <v>3823</v>
      </c>
      <c r="D4325" s="2">
        <v>42443</v>
      </c>
      <c r="E4325" s="1" t="s">
        <v>18</v>
      </c>
      <c r="F4325" t="str">
        <f>HYPERLINK("http://www.sec.gov/Archives/edgar/data/1617896/0001193125-16-503591-index.html")</f>
        <v>http://www.sec.gov/Archives/edgar/data/1617896/0001193125-16-503591-index.html</v>
      </c>
    </row>
    <row r="4326" spans="1:6" x14ac:dyDescent="0.2">
      <c r="A4326" t="s">
        <v>3891</v>
      </c>
      <c r="B4326" s="1">
        <v>1621443</v>
      </c>
      <c r="C4326" s="1">
        <v>2834</v>
      </c>
      <c r="D4326" s="2">
        <v>42443</v>
      </c>
      <c r="E4326" s="1" t="s">
        <v>18</v>
      </c>
      <c r="F4326" t="str">
        <f>HYPERLINK("http://www.sec.gov/Archives/edgar/data/1621443/0001558370-16-004082-index.html")</f>
        <v>http://www.sec.gov/Archives/edgar/data/1621443/0001558370-16-004082-index.html</v>
      </c>
    </row>
    <row r="4327" spans="1:6" x14ac:dyDescent="0.2">
      <c r="A4327" t="s">
        <v>3892</v>
      </c>
      <c r="B4327" s="1">
        <v>1637880</v>
      </c>
      <c r="C4327" s="1">
        <v>4911</v>
      </c>
      <c r="D4327" s="2">
        <v>42443</v>
      </c>
      <c r="E4327" s="1" t="s">
        <v>18</v>
      </c>
      <c r="F4327" t="str">
        <f>HYPERLINK("http://www.sec.gov/Archives/edgar/data/1637880/0001558370-16-004089-index.html")</f>
        <v>http://www.sec.gov/Archives/edgar/data/1637880/0001558370-16-004089-index.html</v>
      </c>
    </row>
    <row r="4328" spans="1:6" x14ac:dyDescent="0.2">
      <c r="A4328" t="s">
        <v>3893</v>
      </c>
      <c r="B4328" s="1">
        <v>1648428</v>
      </c>
      <c r="C4328" s="1">
        <v>2300</v>
      </c>
      <c r="D4328" s="2">
        <v>42443</v>
      </c>
      <c r="E4328" s="1" t="s">
        <v>18</v>
      </c>
      <c r="F4328" t="str">
        <f>HYPERLINK("http://www.sec.gov/Archives/edgar/data/1648428/0001144204-16-087905-index.html")</f>
        <v>http://www.sec.gov/Archives/edgar/data/1648428/0001144204-16-087905-index.html</v>
      </c>
    </row>
    <row r="4329" spans="1:6" x14ac:dyDescent="0.2">
      <c r="A4329" t="s">
        <v>3894</v>
      </c>
      <c r="B4329" s="1">
        <v>275053</v>
      </c>
      <c r="C4329" s="1">
        <v>2834</v>
      </c>
      <c r="D4329" s="2">
        <v>42443</v>
      </c>
      <c r="E4329" s="1" t="s">
        <v>18</v>
      </c>
      <c r="F4329" t="str">
        <f>HYPERLINK("http://www.sec.gov/Archives/edgar/data/275053/0001628280-16-012675-index.html")</f>
        <v>http://www.sec.gov/Archives/edgar/data/275053/0001628280-16-012675-index.html</v>
      </c>
    </row>
    <row r="4330" spans="1:6" x14ac:dyDescent="0.2">
      <c r="A4330" t="s">
        <v>3895</v>
      </c>
      <c r="B4330" s="1">
        <v>276209</v>
      </c>
      <c r="C4330" s="1">
        <v>4941</v>
      </c>
      <c r="D4330" s="2">
        <v>42443</v>
      </c>
      <c r="E4330" s="1" t="s">
        <v>18</v>
      </c>
      <c r="F4330" t="str">
        <f>HYPERLINK("http://www.sec.gov/Archives/edgar/data/276209/0000276209-16-000041-index.html")</f>
        <v>http://www.sec.gov/Archives/edgar/data/276209/0000276209-16-000041-index.html</v>
      </c>
    </row>
    <row r="4331" spans="1:6" x14ac:dyDescent="0.2">
      <c r="A4331" t="s">
        <v>3896</v>
      </c>
      <c r="B4331" s="1">
        <v>30305</v>
      </c>
      <c r="C4331" s="1">
        <v>3728</v>
      </c>
      <c r="D4331" s="2">
        <v>42443</v>
      </c>
      <c r="E4331" s="1" t="s">
        <v>18</v>
      </c>
      <c r="F4331" t="str">
        <f>HYPERLINK("http://www.sec.gov/Archives/edgar/data/30305/0001628280-16-012671-index.html")</f>
        <v>http://www.sec.gov/Archives/edgar/data/30305/0001628280-16-012671-index.html</v>
      </c>
    </row>
    <row r="4332" spans="1:6" x14ac:dyDescent="0.2">
      <c r="A4332" t="s">
        <v>3897</v>
      </c>
      <c r="B4332" s="1">
        <v>34956</v>
      </c>
      <c r="C4332" s="1">
        <v>8731</v>
      </c>
      <c r="D4332" s="2">
        <v>42443</v>
      </c>
      <c r="E4332" s="1" t="s">
        <v>21</v>
      </c>
      <c r="F4332" t="str">
        <f>HYPERLINK("http://www.sec.gov/Archives/edgar/data/34956/0001354488-16-006547-index.html")</f>
        <v>http://www.sec.gov/Archives/edgar/data/34956/0001354488-16-006547-index.html</v>
      </c>
    </row>
    <row r="4333" spans="1:6" x14ac:dyDescent="0.2">
      <c r="A4333" t="s">
        <v>3898</v>
      </c>
      <c r="B4333" s="1">
        <v>350852</v>
      </c>
      <c r="C4333" s="1">
        <v>6022</v>
      </c>
      <c r="D4333" s="2">
        <v>42443</v>
      </c>
      <c r="E4333" s="1" t="s">
        <v>18</v>
      </c>
      <c r="F4333" t="str">
        <f>HYPERLINK("http://www.sec.gov/Archives/edgar/data/350852/0000350852-16-000152-index.html")</f>
        <v>http://www.sec.gov/Archives/edgar/data/350852/0000350852-16-000152-index.html</v>
      </c>
    </row>
    <row r="4334" spans="1:6" x14ac:dyDescent="0.2">
      <c r="A4334" t="s">
        <v>3899</v>
      </c>
      <c r="B4334" s="1">
        <v>351789</v>
      </c>
      <c r="C4334" s="1">
        <v>3823</v>
      </c>
      <c r="D4334" s="2">
        <v>42443</v>
      </c>
      <c r="E4334" s="1" t="s">
        <v>18</v>
      </c>
      <c r="F4334" t="str">
        <f>HYPERLINK("http://www.sec.gov/Archives/edgar/data/351789/0000897101-16-002013-index.html")</f>
        <v>http://www.sec.gov/Archives/edgar/data/351789/0000897101-16-002013-index.html</v>
      </c>
    </row>
    <row r="4335" spans="1:6" x14ac:dyDescent="0.2">
      <c r="A4335" t="s">
        <v>3900</v>
      </c>
      <c r="B4335" s="1">
        <v>45919</v>
      </c>
      <c r="C4335" s="1">
        <v>7331</v>
      </c>
      <c r="D4335" s="2">
        <v>42443</v>
      </c>
      <c r="E4335" s="1" t="s">
        <v>18</v>
      </c>
      <c r="F4335" t="str">
        <f>HYPERLINK("http://www.sec.gov/Archives/edgar/data/45919/0001628280-16-012651-index.html")</f>
        <v>http://www.sec.gov/Archives/edgar/data/45919/0001628280-16-012651-index.html</v>
      </c>
    </row>
    <row r="4336" spans="1:6" x14ac:dyDescent="0.2">
      <c r="A4336" t="s">
        <v>3901</v>
      </c>
      <c r="B4336" s="1">
        <v>4969</v>
      </c>
      <c r="C4336" s="1">
        <v>6153</v>
      </c>
      <c r="D4336" s="2">
        <v>42443</v>
      </c>
      <c r="E4336" s="1" t="s">
        <v>18</v>
      </c>
      <c r="F4336" t="str">
        <f>HYPERLINK("http://www.sec.gov/Archives/edgar/data/4969/0001193125-16-503634-index.html")</f>
        <v>http://www.sec.gov/Archives/edgar/data/4969/0001193125-16-503634-index.html</v>
      </c>
    </row>
    <row r="4337" spans="1:6" x14ac:dyDescent="0.2">
      <c r="A4337" t="s">
        <v>3902</v>
      </c>
      <c r="B4337" s="1">
        <v>69488</v>
      </c>
      <c r="C4337" s="1">
        <v>3089</v>
      </c>
      <c r="D4337" s="2">
        <v>42443</v>
      </c>
      <c r="E4337" s="1" t="s">
        <v>18</v>
      </c>
      <c r="F4337" t="str">
        <f>HYPERLINK("http://www.sec.gov/Archives/edgar/data/69488/0001564590-16-014716-index.html")</f>
        <v>http://www.sec.gov/Archives/edgar/data/69488/0001564590-16-014716-index.html</v>
      </c>
    </row>
    <row r="4338" spans="1:6" x14ac:dyDescent="0.2">
      <c r="A4338" t="s">
        <v>3903</v>
      </c>
      <c r="B4338" s="1">
        <v>709005</v>
      </c>
      <c r="C4338" s="1">
        <v>5812</v>
      </c>
      <c r="D4338" s="2">
        <v>42443</v>
      </c>
      <c r="E4338" s="1" t="s">
        <v>18</v>
      </c>
      <c r="F4338" t="str">
        <f>HYPERLINK("http://www.sec.gov/Archives/edgar/data/709005/0001354488-16-006546-index.html")</f>
        <v>http://www.sec.gov/Archives/edgar/data/709005/0001354488-16-006546-index.html</v>
      </c>
    </row>
    <row r="4339" spans="1:6" x14ac:dyDescent="0.2">
      <c r="A4339" t="s">
        <v>3904</v>
      </c>
      <c r="B4339" s="1">
        <v>719209</v>
      </c>
      <c r="C4339" s="1">
        <v>1311</v>
      </c>
      <c r="D4339" s="2">
        <v>42443</v>
      </c>
      <c r="E4339" s="1" t="s">
        <v>18</v>
      </c>
      <c r="F4339" t="str">
        <f>HYPERLINK("http://www.sec.gov/Archives/edgar/data/719209/0001185185-16-003894-index.html")</f>
        <v>http://www.sec.gov/Archives/edgar/data/719209/0001185185-16-003894-index.html</v>
      </c>
    </row>
    <row r="4340" spans="1:6" x14ac:dyDescent="0.2">
      <c r="A4340" t="s">
        <v>3905</v>
      </c>
      <c r="B4340" s="1">
        <v>72333</v>
      </c>
      <c r="C4340" s="1">
        <v>5651</v>
      </c>
      <c r="D4340" s="2">
        <v>42443</v>
      </c>
      <c r="E4340" s="1" t="s">
        <v>18</v>
      </c>
      <c r="F4340" t="str">
        <f>HYPERLINK("http://www.sec.gov/Archives/edgar/data/72333/0000072333-16-000260-index.html")</f>
        <v>http://www.sec.gov/Archives/edgar/data/72333/0000072333-16-000260-index.html</v>
      </c>
    </row>
    <row r="4341" spans="1:6" x14ac:dyDescent="0.2">
      <c r="A4341" t="s">
        <v>3906</v>
      </c>
      <c r="B4341" s="1">
        <v>724742</v>
      </c>
      <c r="C4341" s="1">
        <v>5651</v>
      </c>
      <c r="D4341" s="2">
        <v>42443</v>
      </c>
      <c r="E4341" s="1" t="s">
        <v>21</v>
      </c>
      <c r="F4341" t="str">
        <f>HYPERLINK("http://www.sec.gov/Archives/edgar/data/724742/0001144204-16-087869-index.html")</f>
        <v>http://www.sec.gov/Archives/edgar/data/724742/0001144204-16-087869-index.html</v>
      </c>
    </row>
    <row r="4342" spans="1:6" x14ac:dyDescent="0.2">
      <c r="A4342" t="s">
        <v>3907</v>
      </c>
      <c r="B4342" s="1">
        <v>726517</v>
      </c>
      <c r="C4342" s="1">
        <v>6022</v>
      </c>
      <c r="D4342" s="2">
        <v>42443</v>
      </c>
      <c r="E4342" s="1" t="s">
        <v>18</v>
      </c>
      <c r="F4342" t="str">
        <f>HYPERLINK("http://www.sec.gov/Archives/edgar/data/726517/0001558370-16-004106-index.html")</f>
        <v>http://www.sec.gov/Archives/edgar/data/726517/0001558370-16-004106-index.html</v>
      </c>
    </row>
    <row r="4343" spans="1:6" x14ac:dyDescent="0.2">
      <c r="A4343" t="s">
        <v>3908</v>
      </c>
      <c r="B4343" s="1">
        <v>727273</v>
      </c>
      <c r="C4343" s="1">
        <v>4941</v>
      </c>
      <c r="D4343" s="2">
        <v>42443</v>
      </c>
      <c r="E4343" s="1" t="s">
        <v>18</v>
      </c>
      <c r="F4343" t="str">
        <f>HYPERLINK("http://www.sec.gov/Archives/edgar/data/727273/0000727273-16-000047-index.html")</f>
        <v>http://www.sec.gov/Archives/edgar/data/727273/0000727273-16-000047-index.html</v>
      </c>
    </row>
    <row r="4344" spans="1:6" x14ac:dyDescent="0.2">
      <c r="A4344" t="s">
        <v>3909</v>
      </c>
      <c r="B4344" s="1">
        <v>730708</v>
      </c>
      <c r="C4344" s="1">
        <v>6022</v>
      </c>
      <c r="D4344" s="2">
        <v>42443</v>
      </c>
      <c r="E4344" s="1" t="s">
        <v>18</v>
      </c>
      <c r="F4344" t="str">
        <f>HYPERLINK("http://www.sec.gov/Archives/edgar/data/730708/0001144204-16-087817-index.html")</f>
        <v>http://www.sec.gov/Archives/edgar/data/730708/0001144204-16-087817-index.html</v>
      </c>
    </row>
    <row r="4345" spans="1:6" x14ac:dyDescent="0.2">
      <c r="A4345" t="s">
        <v>3910</v>
      </c>
      <c r="B4345" s="1">
        <v>743367</v>
      </c>
      <c r="C4345" s="1">
        <v>6022</v>
      </c>
      <c r="D4345" s="2">
        <v>42443</v>
      </c>
      <c r="E4345" s="1" t="s">
        <v>18</v>
      </c>
      <c r="F4345" t="str">
        <f>HYPERLINK("http://www.sec.gov/Archives/edgar/data/743367/0000743367-16-000122-index.html")</f>
        <v>http://www.sec.gov/Archives/edgar/data/743367/0000743367-16-000122-index.html</v>
      </c>
    </row>
    <row r="4346" spans="1:6" x14ac:dyDescent="0.2">
      <c r="A4346" t="s">
        <v>3911</v>
      </c>
      <c r="B4346" s="1">
        <v>750558</v>
      </c>
      <c r="C4346" s="1">
        <v>6022</v>
      </c>
      <c r="D4346" s="2">
        <v>42443</v>
      </c>
      <c r="E4346" s="1" t="s">
        <v>18</v>
      </c>
      <c r="F4346" t="str">
        <f>HYPERLINK("http://www.sec.gov/Archives/edgar/data/750558/0001437749-16-027618-index.html")</f>
        <v>http://www.sec.gov/Archives/edgar/data/750558/0001437749-16-027618-index.html</v>
      </c>
    </row>
    <row r="4347" spans="1:6" x14ac:dyDescent="0.2">
      <c r="A4347" t="s">
        <v>3912</v>
      </c>
      <c r="B4347" s="1">
        <v>76282</v>
      </c>
      <c r="C4347" s="1">
        <v>3460</v>
      </c>
      <c r="D4347" s="2">
        <v>42443</v>
      </c>
      <c r="E4347" s="1" t="s">
        <v>18</v>
      </c>
      <c r="F4347" t="str">
        <f>HYPERLINK("http://www.sec.gov/Archives/edgar/data/76282/0000076282-16-000171-index.html")</f>
        <v>http://www.sec.gov/Archives/edgar/data/76282/0000076282-16-000171-index.html</v>
      </c>
    </row>
    <row r="4348" spans="1:6" x14ac:dyDescent="0.2">
      <c r="A4348" t="s">
        <v>3913</v>
      </c>
      <c r="B4348" s="1">
        <v>76605</v>
      </c>
      <c r="C4348" s="1">
        <v>2430</v>
      </c>
      <c r="D4348" s="2">
        <v>42443</v>
      </c>
      <c r="E4348" s="1" t="s">
        <v>18</v>
      </c>
      <c r="F4348" t="str">
        <f>HYPERLINK("http://www.sec.gov/Archives/edgar/data/76605/0001437749-16-027616-index.html")</f>
        <v>http://www.sec.gov/Archives/edgar/data/76605/0001437749-16-027616-index.html</v>
      </c>
    </row>
    <row r="4349" spans="1:6" x14ac:dyDescent="0.2">
      <c r="A4349" t="s">
        <v>3914</v>
      </c>
      <c r="B4349" s="1">
        <v>811589</v>
      </c>
      <c r="C4349" s="1">
        <v>6022</v>
      </c>
      <c r="D4349" s="2">
        <v>42443</v>
      </c>
      <c r="E4349" s="1" t="s">
        <v>18</v>
      </c>
      <c r="F4349" t="str">
        <f>HYPERLINK("http://www.sec.gov/Archives/edgar/data/811589/0001174947-16-002230-index.html")</f>
        <v>http://www.sec.gov/Archives/edgar/data/811589/0001174947-16-002230-index.html</v>
      </c>
    </row>
    <row r="4350" spans="1:6" x14ac:dyDescent="0.2">
      <c r="A4350" t="s">
        <v>3915</v>
      </c>
      <c r="B4350" s="1">
        <v>819050</v>
      </c>
      <c r="C4350" s="1">
        <v>2836</v>
      </c>
      <c r="D4350" s="2">
        <v>42443</v>
      </c>
      <c r="E4350" s="1" t="s">
        <v>18</v>
      </c>
      <c r="F4350" t="str">
        <f>HYPERLINK("http://www.sec.gov/Archives/edgar/data/819050/0001564590-16-014677-index.html")</f>
        <v>http://www.sec.gov/Archives/edgar/data/819050/0001564590-16-014677-index.html</v>
      </c>
    </row>
    <row r="4351" spans="1:6" x14ac:dyDescent="0.2">
      <c r="A4351" t="s">
        <v>3916</v>
      </c>
      <c r="B4351" s="1">
        <v>822663</v>
      </c>
      <c r="C4351" s="1">
        <v>2844</v>
      </c>
      <c r="D4351" s="2">
        <v>42443</v>
      </c>
      <c r="E4351" s="1" t="s">
        <v>18</v>
      </c>
      <c r="F4351" t="str">
        <f>HYPERLINK("http://www.sec.gov/Archives/edgar/data/822663/0001144204-16-087700-index.html")</f>
        <v>http://www.sec.gov/Archives/edgar/data/822663/0001144204-16-087700-index.html</v>
      </c>
    </row>
    <row r="4352" spans="1:6" x14ac:dyDescent="0.2">
      <c r="A4352" t="s">
        <v>3917</v>
      </c>
      <c r="B4352" s="1">
        <v>830122</v>
      </c>
      <c r="C4352" s="1">
        <v>6500</v>
      </c>
      <c r="D4352" s="2">
        <v>42443</v>
      </c>
      <c r="E4352" s="1" t="s">
        <v>18</v>
      </c>
      <c r="F4352" t="str">
        <f>HYPERLINK("http://www.sec.gov/Archives/edgar/data/830122/0000830122-16-000132-index.html")</f>
        <v>http://www.sec.gov/Archives/edgar/data/830122/0000830122-16-000132-index.html</v>
      </c>
    </row>
    <row r="4353" spans="1:6" x14ac:dyDescent="0.2">
      <c r="A4353" t="s">
        <v>1299</v>
      </c>
      <c r="B4353" s="1">
        <v>831547</v>
      </c>
      <c r="C4353" s="1">
        <v>2834</v>
      </c>
      <c r="D4353" s="2">
        <v>42443</v>
      </c>
      <c r="E4353" s="1" t="s">
        <v>18</v>
      </c>
      <c r="F4353" t="str">
        <f>HYPERLINK("http://www.sec.gov/Archives/edgar/data/831547/0000831547-16-000059-index.html")</f>
        <v>http://www.sec.gov/Archives/edgar/data/831547/0000831547-16-000059-index.html</v>
      </c>
    </row>
    <row r="4354" spans="1:6" x14ac:dyDescent="0.2">
      <c r="A4354" t="s">
        <v>3918</v>
      </c>
      <c r="B4354" s="1">
        <v>834285</v>
      </c>
      <c r="C4354" s="1">
        <v>6022</v>
      </c>
      <c r="D4354" s="2">
        <v>42443</v>
      </c>
      <c r="E4354" s="1" t="s">
        <v>18</v>
      </c>
      <c r="F4354" t="str">
        <f>HYPERLINK("http://www.sec.gov/Archives/edgar/data/834285/0000950159-16-000475-index.html")</f>
        <v>http://www.sec.gov/Archives/edgar/data/834285/0000950159-16-000475-index.html</v>
      </c>
    </row>
    <row r="4355" spans="1:6" x14ac:dyDescent="0.2">
      <c r="A4355" t="s">
        <v>3919</v>
      </c>
      <c r="B4355" s="1">
        <v>842517</v>
      </c>
      <c r="C4355" s="1">
        <v>6022</v>
      </c>
      <c r="D4355" s="2">
        <v>42443</v>
      </c>
      <c r="E4355" s="1" t="s">
        <v>18</v>
      </c>
      <c r="F4355" t="str">
        <f>HYPERLINK("http://www.sec.gov/Archives/edgar/data/842517/0000842517-16-000214-index.html")</f>
        <v>http://www.sec.gov/Archives/edgar/data/842517/0000842517-16-000214-index.html</v>
      </c>
    </row>
    <row r="4356" spans="1:6" x14ac:dyDescent="0.2">
      <c r="A4356" t="s">
        <v>3920</v>
      </c>
      <c r="B4356" s="1">
        <v>846617</v>
      </c>
      <c r="C4356" s="1">
        <v>6021</v>
      </c>
      <c r="D4356" s="2">
        <v>42443</v>
      </c>
      <c r="E4356" s="1" t="s">
        <v>18</v>
      </c>
      <c r="F4356" t="str">
        <f>HYPERLINK("http://www.sec.gov/Archives/edgar/data/846617/0001571049-16-013009-index.html")</f>
        <v>http://www.sec.gov/Archives/edgar/data/846617/0001571049-16-013009-index.html</v>
      </c>
    </row>
    <row r="4357" spans="1:6" x14ac:dyDescent="0.2">
      <c r="A4357" t="s">
        <v>3921</v>
      </c>
      <c r="B4357" s="1">
        <v>870385</v>
      </c>
      <c r="C4357" s="1">
        <v>6022</v>
      </c>
      <c r="D4357" s="2">
        <v>42443</v>
      </c>
      <c r="E4357" s="1" t="s">
        <v>18</v>
      </c>
      <c r="F4357" t="str">
        <f>HYPERLINK("http://www.sec.gov/Archives/edgar/data/870385/0001552781-16-001388-index.html")</f>
        <v>http://www.sec.gov/Archives/edgar/data/870385/0001552781-16-001388-index.html</v>
      </c>
    </row>
    <row r="4358" spans="1:6" x14ac:dyDescent="0.2">
      <c r="A4358" t="s">
        <v>3922</v>
      </c>
      <c r="B4358" s="1">
        <v>874238</v>
      </c>
      <c r="C4358" s="1">
        <v>1600</v>
      </c>
      <c r="D4358" s="2">
        <v>42443</v>
      </c>
      <c r="E4358" s="1" t="s">
        <v>18</v>
      </c>
      <c r="F4358" t="str">
        <f>HYPERLINK("http://www.sec.gov/Archives/edgar/data/874238/0001171843-16-008548-index.html")</f>
        <v>http://www.sec.gov/Archives/edgar/data/874238/0001171843-16-008548-index.html</v>
      </c>
    </row>
    <row r="4359" spans="1:6" x14ac:dyDescent="0.2">
      <c r="A4359" t="s">
        <v>647</v>
      </c>
      <c r="B4359" s="1">
        <v>874396</v>
      </c>
      <c r="C4359" s="1">
        <v>3420</v>
      </c>
      <c r="D4359" s="2">
        <v>42443</v>
      </c>
      <c r="E4359" s="1" t="s">
        <v>18</v>
      </c>
      <c r="F4359" t="str">
        <f>HYPERLINK("http://www.sec.gov/Archives/edgar/data/874396/0001193125-16-503689-index.html")</f>
        <v>http://www.sec.gov/Archives/edgar/data/874396/0001193125-16-503689-index.html</v>
      </c>
    </row>
    <row r="4360" spans="1:6" x14ac:dyDescent="0.2">
      <c r="A4360" t="s">
        <v>3923</v>
      </c>
      <c r="B4360" s="1">
        <v>875622</v>
      </c>
      <c r="C4360" s="1">
        <v>2834</v>
      </c>
      <c r="D4360" s="2">
        <v>42443</v>
      </c>
      <c r="E4360" s="1" t="s">
        <v>18</v>
      </c>
      <c r="F4360" t="str">
        <f>HYPERLINK("http://www.sec.gov/Archives/edgar/data/875622/0001140361-16-057622-index.html")</f>
        <v>http://www.sec.gov/Archives/edgar/data/875622/0001140361-16-057622-index.html</v>
      </c>
    </row>
    <row r="4361" spans="1:6" x14ac:dyDescent="0.2">
      <c r="A4361" t="s">
        <v>3924</v>
      </c>
      <c r="B4361" s="1">
        <v>882154</v>
      </c>
      <c r="C4361" s="1">
        <v>7389</v>
      </c>
      <c r="D4361" s="2">
        <v>42443</v>
      </c>
      <c r="E4361" s="1" t="s">
        <v>18</v>
      </c>
      <c r="F4361" t="str">
        <f>HYPERLINK("http://www.sec.gov/Archives/edgar/data/882154/0001193125-16-503491-index.html")</f>
        <v>http://www.sec.gov/Archives/edgar/data/882154/0001193125-16-503491-index.html</v>
      </c>
    </row>
    <row r="4362" spans="1:6" x14ac:dyDescent="0.2">
      <c r="A4362" t="s">
        <v>3925</v>
      </c>
      <c r="B4362" s="1">
        <v>885275</v>
      </c>
      <c r="C4362" s="1">
        <v>6021</v>
      </c>
      <c r="D4362" s="2">
        <v>42443</v>
      </c>
      <c r="E4362" s="1" t="s">
        <v>18</v>
      </c>
      <c r="F4362" t="str">
        <f>HYPERLINK("http://www.sec.gov/Archives/edgar/data/885275/0001628280-16-012652-index.html")</f>
        <v>http://www.sec.gov/Archives/edgar/data/885275/0001628280-16-012652-index.html</v>
      </c>
    </row>
    <row r="4363" spans="1:6" x14ac:dyDescent="0.2">
      <c r="A4363" t="s">
        <v>3926</v>
      </c>
      <c r="B4363" s="1">
        <v>886136</v>
      </c>
      <c r="C4363" s="1">
        <v>4832</v>
      </c>
      <c r="D4363" s="2">
        <v>42443</v>
      </c>
      <c r="E4363" s="1" t="s">
        <v>18</v>
      </c>
      <c r="F4363" t="str">
        <f>HYPERLINK("http://www.sec.gov/Archives/edgar/data/886136/0001144204-16-087815-index.html")</f>
        <v>http://www.sec.gov/Archives/edgar/data/886136/0001144204-16-087815-index.html</v>
      </c>
    </row>
    <row r="4364" spans="1:6" x14ac:dyDescent="0.2">
      <c r="A4364" t="s">
        <v>3927</v>
      </c>
      <c r="B4364" s="1">
        <v>887359</v>
      </c>
      <c r="C4364" s="1">
        <v>2836</v>
      </c>
      <c r="D4364" s="2">
        <v>42443</v>
      </c>
      <c r="E4364" s="1" t="s">
        <v>18</v>
      </c>
      <c r="F4364" t="str">
        <f>HYPERLINK("http://www.sec.gov/Archives/edgar/data/887359/0001628280-16-012668-index.html")</f>
        <v>http://www.sec.gov/Archives/edgar/data/887359/0001628280-16-012668-index.html</v>
      </c>
    </row>
    <row r="4365" spans="1:6" x14ac:dyDescent="0.2">
      <c r="A4365" t="s">
        <v>3928</v>
      </c>
      <c r="B4365" s="1">
        <v>894081</v>
      </c>
      <c r="C4365" s="1">
        <v>4513</v>
      </c>
      <c r="D4365" s="2">
        <v>42443</v>
      </c>
      <c r="E4365" s="1" t="s">
        <v>18</v>
      </c>
      <c r="F4365" t="str">
        <f>HYPERLINK("http://www.sec.gov/Archives/edgar/data/894081/0000894081-16-000225-index.html")</f>
        <v>http://www.sec.gov/Archives/edgar/data/894081/0000894081-16-000225-index.html</v>
      </c>
    </row>
    <row r="4366" spans="1:6" x14ac:dyDescent="0.2">
      <c r="A4366" t="s">
        <v>3929</v>
      </c>
      <c r="B4366" s="1">
        <v>897075</v>
      </c>
      <c r="C4366" s="1">
        <v>2836</v>
      </c>
      <c r="D4366" s="2">
        <v>42443</v>
      </c>
      <c r="E4366" s="1" t="s">
        <v>18</v>
      </c>
      <c r="F4366" t="str">
        <f>HYPERLINK("http://www.sec.gov/Archives/edgar/data/897075/0001144204-16-087730-index.html")</f>
        <v>http://www.sec.gov/Archives/edgar/data/897075/0001144204-16-087730-index.html</v>
      </c>
    </row>
    <row r="4367" spans="1:6" x14ac:dyDescent="0.2">
      <c r="A4367" t="s">
        <v>3930</v>
      </c>
      <c r="B4367" s="1">
        <v>903651</v>
      </c>
      <c r="C4367" s="1">
        <v>7374</v>
      </c>
      <c r="D4367" s="2">
        <v>42443</v>
      </c>
      <c r="E4367" s="1" t="s">
        <v>18</v>
      </c>
      <c r="F4367" t="str">
        <f>HYPERLINK("http://www.sec.gov/Archives/edgar/data/903651/0001144204-16-087840-index.html")</f>
        <v>http://www.sec.gov/Archives/edgar/data/903651/0001144204-16-087840-index.html</v>
      </c>
    </row>
    <row r="4368" spans="1:6" x14ac:dyDescent="0.2">
      <c r="A4368" t="s">
        <v>3931</v>
      </c>
      <c r="B4368" s="1">
        <v>910638</v>
      </c>
      <c r="C4368" s="1">
        <v>7372</v>
      </c>
      <c r="D4368" s="2">
        <v>42443</v>
      </c>
      <c r="E4368" s="1" t="s">
        <v>18</v>
      </c>
      <c r="F4368" t="str">
        <f>HYPERLINK("http://www.sec.gov/Archives/edgar/data/910638/0000910638-16-000016-index.html")</f>
        <v>http://www.sec.gov/Archives/edgar/data/910638/0000910638-16-000016-index.html</v>
      </c>
    </row>
    <row r="4369" spans="1:6" x14ac:dyDescent="0.2">
      <c r="A4369" t="s">
        <v>3932</v>
      </c>
      <c r="B4369" s="1">
        <v>914138</v>
      </c>
      <c r="C4369" s="1">
        <v>6021</v>
      </c>
      <c r="D4369" s="2">
        <v>42443</v>
      </c>
      <c r="E4369" s="1" t="s">
        <v>18</v>
      </c>
      <c r="F4369" t="str">
        <f>HYPERLINK("http://www.sec.gov/Archives/edgar/data/914138/0000914138-16-000028-index.html")</f>
        <v>http://www.sec.gov/Archives/edgar/data/914138/0000914138-16-000028-index.html</v>
      </c>
    </row>
    <row r="4370" spans="1:6" x14ac:dyDescent="0.2">
      <c r="A4370" t="s">
        <v>3775</v>
      </c>
      <c r="B4370" s="1">
        <v>922475</v>
      </c>
      <c r="C4370" s="1">
        <v>8200</v>
      </c>
      <c r="D4370" s="2">
        <v>42443</v>
      </c>
      <c r="E4370" s="1" t="s">
        <v>42</v>
      </c>
      <c r="F4370" t="str">
        <f>HYPERLINK("http://www.sec.gov/Archives/edgar/data/922475/0001193125-16-503629-index.html")</f>
        <v>http://www.sec.gov/Archives/edgar/data/922475/0001193125-16-503629-index.html</v>
      </c>
    </row>
    <row r="4371" spans="1:6" x14ac:dyDescent="0.2">
      <c r="A4371" t="s">
        <v>3933</v>
      </c>
      <c r="B4371" s="1">
        <v>940332</v>
      </c>
      <c r="C4371" s="1">
        <v>3674</v>
      </c>
      <c r="D4371" s="2">
        <v>42443</v>
      </c>
      <c r="E4371" s="1" t="s">
        <v>18</v>
      </c>
      <c r="F4371" t="str">
        <f>HYPERLINK("http://www.sec.gov/Archives/edgar/data/940332/0001437749-16-027554-index.html")</f>
        <v>http://www.sec.gov/Archives/edgar/data/940332/0001437749-16-027554-index.html</v>
      </c>
    </row>
    <row r="4372" spans="1:6" x14ac:dyDescent="0.2">
      <c r="A4372" t="s">
        <v>1603</v>
      </c>
      <c r="B4372" s="1">
        <v>1000298</v>
      </c>
      <c r="C4372" s="1">
        <v>6798</v>
      </c>
      <c r="D4372" s="2">
        <v>42440</v>
      </c>
      <c r="E4372" s="1" t="s">
        <v>18</v>
      </c>
      <c r="F4372" t="str">
        <f>HYPERLINK("http://www.sec.gov/Archives/edgar/data/1000298/0001047469-16-011036-index.html")</f>
        <v>http://www.sec.gov/Archives/edgar/data/1000298/0001047469-16-011036-index.html</v>
      </c>
    </row>
    <row r="4373" spans="1:6" x14ac:dyDescent="0.2">
      <c r="A4373" t="s">
        <v>3934</v>
      </c>
      <c r="B4373" s="1">
        <v>1005409</v>
      </c>
      <c r="C4373" s="1">
        <v>6035</v>
      </c>
      <c r="D4373" s="2">
        <v>42440</v>
      </c>
      <c r="E4373" s="1" t="s">
        <v>18</v>
      </c>
      <c r="F4373" t="str">
        <f>HYPERLINK("http://www.sec.gov/Archives/edgar/data/1005409/0001005409-16-000098-index.html")</f>
        <v>http://www.sec.gov/Archives/edgar/data/1005409/0001005409-16-000098-index.html</v>
      </c>
    </row>
    <row r="4374" spans="1:6" x14ac:dyDescent="0.2">
      <c r="A4374" t="s">
        <v>3935</v>
      </c>
      <c r="B4374" s="1">
        <v>1006424</v>
      </c>
      <c r="C4374" s="1">
        <v>6021</v>
      </c>
      <c r="D4374" s="2">
        <v>42440</v>
      </c>
      <c r="E4374" s="1" t="s">
        <v>18</v>
      </c>
      <c r="F4374" t="str">
        <f>HYPERLINK("http://www.sec.gov/Archives/edgar/data/1006424/0001437749-16-027480-index.html")</f>
        <v>http://www.sec.gov/Archives/edgar/data/1006424/0001437749-16-027480-index.html</v>
      </c>
    </row>
    <row r="4375" spans="1:6" x14ac:dyDescent="0.2">
      <c r="A4375" t="s">
        <v>3936</v>
      </c>
      <c r="B4375" s="1">
        <v>1017303</v>
      </c>
      <c r="C4375" s="1">
        <v>3577</v>
      </c>
      <c r="D4375" s="2">
        <v>42440</v>
      </c>
      <c r="E4375" s="1" t="s">
        <v>18</v>
      </c>
      <c r="F4375" t="str">
        <f>HYPERLINK("http://www.sec.gov/Archives/edgar/data/1017303/0001017303-16-000085-index.html")</f>
        <v>http://www.sec.gov/Archives/edgar/data/1017303/0001017303-16-000085-index.html</v>
      </c>
    </row>
    <row r="4376" spans="1:6" x14ac:dyDescent="0.2">
      <c r="A4376" t="s">
        <v>3937</v>
      </c>
      <c r="B4376" s="1">
        <v>1017968</v>
      </c>
      <c r="C4376" s="1">
        <v>7370</v>
      </c>
      <c r="D4376" s="2">
        <v>42440</v>
      </c>
      <c r="E4376" s="1" t="s">
        <v>18</v>
      </c>
      <c r="F4376" t="str">
        <f>HYPERLINK("http://www.sec.gov/Archives/edgar/data/1017968/0001193125-16-501510-index.html")</f>
        <v>http://www.sec.gov/Archives/edgar/data/1017968/0001193125-16-501510-index.html</v>
      </c>
    </row>
    <row r="4377" spans="1:6" x14ac:dyDescent="0.2">
      <c r="A4377" t="s">
        <v>3938</v>
      </c>
      <c r="B4377" s="1">
        <v>1018164</v>
      </c>
      <c r="C4377" s="1">
        <v>5080</v>
      </c>
      <c r="D4377" s="2">
        <v>42440</v>
      </c>
      <c r="E4377" s="1" t="s">
        <v>18</v>
      </c>
      <c r="F4377" t="str">
        <f>HYPERLINK("http://www.sec.gov/Archives/edgar/data/1018164/0001558370-16-004008-index.html")</f>
        <v>http://www.sec.gov/Archives/edgar/data/1018164/0001558370-16-004008-index.html</v>
      </c>
    </row>
    <row r="4378" spans="1:6" x14ac:dyDescent="0.2">
      <c r="A4378" t="s">
        <v>3939</v>
      </c>
      <c r="B4378" s="1">
        <v>101984</v>
      </c>
      <c r="C4378" s="1">
        <v>3651</v>
      </c>
      <c r="D4378" s="2">
        <v>42440</v>
      </c>
      <c r="E4378" s="1" t="s">
        <v>18</v>
      </c>
      <c r="F4378" t="str">
        <f>HYPERLINK("http://www.sec.gov/Archives/edgar/data/101984/0000101984-16-000062-index.html")</f>
        <v>http://www.sec.gov/Archives/edgar/data/101984/0000101984-16-000062-index.html</v>
      </c>
    </row>
    <row r="4379" spans="1:6" x14ac:dyDescent="0.2">
      <c r="A4379" t="s">
        <v>3940</v>
      </c>
      <c r="B4379" s="1">
        <v>1023313</v>
      </c>
      <c r="C4379" s="1">
        <v>8700</v>
      </c>
      <c r="D4379" s="2">
        <v>42440</v>
      </c>
      <c r="E4379" s="1" t="s">
        <v>18</v>
      </c>
      <c r="F4379" t="str">
        <f>HYPERLINK("http://www.sec.gov/Archives/edgar/data/1023313/0001564590-16-014580-index.html")</f>
        <v>http://www.sec.gov/Archives/edgar/data/1023313/0001564590-16-014580-index.html</v>
      </c>
    </row>
    <row r="4380" spans="1:6" x14ac:dyDescent="0.2">
      <c r="A4380" t="s">
        <v>3941</v>
      </c>
      <c r="B4380" s="1">
        <v>10254</v>
      </c>
      <c r="C4380" s="1">
        <v>1311</v>
      </c>
      <c r="D4380" s="2">
        <v>42440</v>
      </c>
      <c r="E4380" s="1" t="s">
        <v>18</v>
      </c>
      <c r="F4380" t="str">
        <f>HYPERLINK("http://www.sec.gov/Archives/edgar/data/10254/0001564590-16-014606-index.html")</f>
        <v>http://www.sec.gov/Archives/edgar/data/10254/0001564590-16-014606-index.html</v>
      </c>
    </row>
    <row r="4381" spans="1:6" x14ac:dyDescent="0.2">
      <c r="A4381" t="s">
        <v>3942</v>
      </c>
      <c r="B4381" s="1">
        <v>1026655</v>
      </c>
      <c r="C4381" s="1">
        <v>3089</v>
      </c>
      <c r="D4381" s="2">
        <v>42440</v>
      </c>
      <c r="E4381" s="1" t="s">
        <v>18</v>
      </c>
      <c r="F4381" t="str">
        <f>HYPERLINK("http://www.sec.gov/Archives/edgar/data/1026655/0001026655-16-000044-index.html")</f>
        <v>http://www.sec.gov/Archives/edgar/data/1026655/0001026655-16-000044-index.html</v>
      </c>
    </row>
    <row r="4382" spans="1:6" x14ac:dyDescent="0.2">
      <c r="A4382" t="s">
        <v>3943</v>
      </c>
      <c r="B4382" s="1">
        <v>1035092</v>
      </c>
      <c r="C4382" s="1">
        <v>6021</v>
      </c>
      <c r="D4382" s="2">
        <v>42440</v>
      </c>
      <c r="E4382" s="1" t="s">
        <v>18</v>
      </c>
      <c r="F4382" t="str">
        <f>HYPERLINK("http://www.sec.gov/Archives/edgar/data/1035092/0001144204-16-087416-index.html")</f>
        <v>http://www.sec.gov/Archives/edgar/data/1035092/0001144204-16-087416-index.html</v>
      </c>
    </row>
    <row r="4383" spans="1:6" x14ac:dyDescent="0.2">
      <c r="A4383" t="s">
        <v>3944</v>
      </c>
      <c r="B4383" s="1">
        <v>1035976</v>
      </c>
      <c r="C4383" s="1">
        <v>6021</v>
      </c>
      <c r="D4383" s="2">
        <v>42440</v>
      </c>
      <c r="E4383" s="1" t="s">
        <v>18</v>
      </c>
      <c r="F4383" t="str">
        <f>HYPERLINK("http://www.sec.gov/Archives/edgar/data/1035976/0001437749-16-027473-index.html")</f>
        <v>http://www.sec.gov/Archives/edgar/data/1035976/0001437749-16-027473-index.html</v>
      </c>
    </row>
    <row r="4384" spans="1:6" x14ac:dyDescent="0.2">
      <c r="A4384" t="s">
        <v>3945</v>
      </c>
      <c r="B4384" s="1">
        <v>1036030</v>
      </c>
      <c r="C4384" s="1">
        <v>6035</v>
      </c>
      <c r="D4384" s="2">
        <v>42440</v>
      </c>
      <c r="E4384" s="1" t="s">
        <v>18</v>
      </c>
      <c r="F4384" t="str">
        <f>HYPERLINK("http://www.sec.gov/Archives/edgar/data/1036030/0001174947-16-002215-index.html")</f>
        <v>http://www.sec.gov/Archives/edgar/data/1036030/0001174947-16-002215-index.html</v>
      </c>
    </row>
    <row r="4385" spans="1:6" x14ac:dyDescent="0.2">
      <c r="A4385" t="s">
        <v>3946</v>
      </c>
      <c r="B4385" s="1">
        <v>1036848</v>
      </c>
      <c r="C4385" s="1">
        <v>7359</v>
      </c>
      <c r="D4385" s="2">
        <v>42440</v>
      </c>
      <c r="E4385" s="1" t="s">
        <v>18</v>
      </c>
      <c r="F4385" t="str">
        <f>HYPERLINK("http://www.sec.gov/Archives/edgar/data/1036848/0001036848-16-000082-index.html")</f>
        <v>http://www.sec.gov/Archives/edgar/data/1036848/0001036848-16-000082-index.html</v>
      </c>
    </row>
    <row r="4386" spans="1:6" x14ac:dyDescent="0.2">
      <c r="A4386" t="s">
        <v>3947</v>
      </c>
      <c r="B4386" s="1">
        <v>1045425</v>
      </c>
      <c r="C4386" s="1">
        <v>6798</v>
      </c>
      <c r="D4386" s="2">
        <v>42440</v>
      </c>
      <c r="E4386" s="1" t="s">
        <v>18</v>
      </c>
      <c r="F4386" t="str">
        <f>HYPERLINK("http://www.sec.gov/Archives/edgar/data/1045425/0001564590-16-014500-index.html")</f>
        <v>http://www.sec.gov/Archives/edgar/data/1045425/0001564590-16-014500-index.html</v>
      </c>
    </row>
    <row r="4387" spans="1:6" x14ac:dyDescent="0.2">
      <c r="A4387" t="s">
        <v>3948</v>
      </c>
      <c r="B4387" s="1">
        <v>1050606</v>
      </c>
      <c r="C4387" s="1">
        <v>4832</v>
      </c>
      <c r="D4387" s="2">
        <v>42440</v>
      </c>
      <c r="E4387" s="1" t="s">
        <v>18</v>
      </c>
      <c r="F4387" t="str">
        <f>HYPERLINK("http://www.sec.gov/Archives/edgar/data/1050606/0001144204-16-087583-index.html")</f>
        <v>http://www.sec.gov/Archives/edgar/data/1050606/0001144204-16-087583-index.html</v>
      </c>
    </row>
    <row r="4388" spans="1:6" x14ac:dyDescent="0.2">
      <c r="A4388" t="s">
        <v>3949</v>
      </c>
      <c r="B4388" s="1">
        <v>1051627</v>
      </c>
      <c r="C4388" s="1">
        <v>3674</v>
      </c>
      <c r="D4388" s="2">
        <v>42440</v>
      </c>
      <c r="E4388" s="1" t="s">
        <v>18</v>
      </c>
      <c r="F4388" t="str">
        <f>HYPERLINK("http://www.sec.gov/Archives/edgar/data/1051627/0001558370-16-004062-index.html")</f>
        <v>http://www.sec.gov/Archives/edgar/data/1051627/0001558370-16-004062-index.html</v>
      </c>
    </row>
    <row r="4389" spans="1:6" x14ac:dyDescent="0.2">
      <c r="A4389" t="s">
        <v>3950</v>
      </c>
      <c r="B4389" s="1">
        <v>1053374</v>
      </c>
      <c r="C4389" s="1">
        <v>7374</v>
      </c>
      <c r="D4389" s="2">
        <v>42440</v>
      </c>
      <c r="E4389" s="1" t="s">
        <v>18</v>
      </c>
      <c r="F4389" t="str">
        <f>HYPERLINK("http://www.sec.gov/Archives/edgar/data/1053374/0001053374-16-000177-index.html")</f>
        <v>http://www.sec.gov/Archives/edgar/data/1053374/0001053374-16-000177-index.html</v>
      </c>
    </row>
    <row r="4390" spans="1:6" x14ac:dyDescent="0.2">
      <c r="A4390" t="s">
        <v>3951</v>
      </c>
      <c r="B4390" s="1">
        <v>1056943</v>
      </c>
      <c r="C4390" s="1">
        <v>6021</v>
      </c>
      <c r="D4390" s="2">
        <v>42440</v>
      </c>
      <c r="E4390" s="1" t="s">
        <v>18</v>
      </c>
      <c r="F4390" t="str">
        <f>HYPERLINK("http://www.sec.gov/Archives/edgar/data/1056943/0001558370-16-004048-index.html")</f>
        <v>http://www.sec.gov/Archives/edgar/data/1056943/0001558370-16-004048-index.html</v>
      </c>
    </row>
    <row r="4391" spans="1:6" x14ac:dyDescent="0.2">
      <c r="A4391" t="s">
        <v>3466</v>
      </c>
      <c r="B4391" s="1">
        <v>1059562</v>
      </c>
      <c r="C4391" s="1">
        <v>3728</v>
      </c>
      <c r="D4391" s="2">
        <v>42440</v>
      </c>
      <c r="E4391" s="1" t="s">
        <v>18</v>
      </c>
      <c r="F4391" t="str">
        <f>HYPERLINK("http://www.sec.gov/Archives/edgar/data/1059562/0001059562-16-000050-index.html")</f>
        <v>http://www.sec.gov/Archives/edgar/data/1059562/0001059562-16-000050-index.html</v>
      </c>
    </row>
    <row r="4392" spans="1:6" x14ac:dyDescent="0.2">
      <c r="A4392" t="s">
        <v>1276</v>
      </c>
      <c r="B4392" s="1">
        <v>1062822</v>
      </c>
      <c r="C4392" s="1">
        <v>2834</v>
      </c>
      <c r="D4392" s="2">
        <v>42440</v>
      </c>
      <c r="E4392" s="1" t="s">
        <v>18</v>
      </c>
      <c r="F4392" t="str">
        <f>HYPERLINK("http://www.sec.gov/Archives/edgar/data/1062822/0001062822-16-000051-index.html")</f>
        <v>http://www.sec.gov/Archives/edgar/data/1062822/0001062822-16-000051-index.html</v>
      </c>
    </row>
    <row r="4393" spans="1:6" x14ac:dyDescent="0.2">
      <c r="A4393" t="s">
        <v>3952</v>
      </c>
      <c r="B4393" s="1">
        <v>1069258</v>
      </c>
      <c r="C4393" s="1">
        <v>3760</v>
      </c>
      <c r="D4393" s="2">
        <v>42440</v>
      </c>
      <c r="E4393" s="1" t="s">
        <v>18</v>
      </c>
      <c r="F4393" t="str">
        <f>HYPERLINK("http://www.sec.gov/Archives/edgar/data/1069258/0001069258-16-000059-index.html")</f>
        <v>http://www.sec.gov/Archives/edgar/data/1069258/0001069258-16-000059-index.html</v>
      </c>
    </row>
    <row r="4394" spans="1:6" x14ac:dyDescent="0.2">
      <c r="A4394" t="s">
        <v>3953</v>
      </c>
      <c r="B4394" s="1">
        <v>1084991</v>
      </c>
      <c r="C4394" s="1">
        <v>1389</v>
      </c>
      <c r="D4394" s="2">
        <v>42440</v>
      </c>
      <c r="E4394" s="1" t="s">
        <v>18</v>
      </c>
      <c r="F4394" t="str">
        <f>HYPERLINK("http://www.sec.gov/Archives/edgar/data/1084991/0001084991-16-000045-index.html")</f>
        <v>http://www.sec.gov/Archives/edgar/data/1084991/0001084991-16-000045-index.html</v>
      </c>
    </row>
    <row r="4395" spans="1:6" x14ac:dyDescent="0.2">
      <c r="A4395" t="s">
        <v>3954</v>
      </c>
      <c r="B4395" s="1">
        <v>1094348</v>
      </c>
      <c r="C4395" s="1">
        <v>7373</v>
      </c>
      <c r="D4395" s="2">
        <v>42440</v>
      </c>
      <c r="E4395" s="1" t="s">
        <v>18</v>
      </c>
      <c r="F4395" t="str">
        <f>HYPERLINK("http://www.sec.gov/Archives/edgar/data/1094348/0001564590-16-014587-index.html")</f>
        <v>http://www.sec.gov/Archives/edgar/data/1094348/0001564590-16-014587-index.html</v>
      </c>
    </row>
    <row r="4396" spans="1:6" x14ac:dyDescent="0.2">
      <c r="A4396" t="s">
        <v>562</v>
      </c>
      <c r="B4396" s="1">
        <v>1095981</v>
      </c>
      <c r="C4396" s="1">
        <v>3841</v>
      </c>
      <c r="D4396" s="2">
        <v>42440</v>
      </c>
      <c r="E4396" s="1" t="s">
        <v>18</v>
      </c>
      <c r="F4396" t="str">
        <f>HYPERLINK("http://www.sec.gov/Archives/edgar/data/1095981/0001140361-16-057505-index.html")</f>
        <v>http://www.sec.gov/Archives/edgar/data/1095981/0001140361-16-057505-index.html</v>
      </c>
    </row>
    <row r="4397" spans="1:6" x14ac:dyDescent="0.2">
      <c r="A4397" t="s">
        <v>3955</v>
      </c>
      <c r="B4397" s="1">
        <v>1095996</v>
      </c>
      <c r="C4397" s="1">
        <v>1531</v>
      </c>
      <c r="D4397" s="2">
        <v>42440</v>
      </c>
      <c r="E4397" s="1" t="s">
        <v>18</v>
      </c>
      <c r="F4397" t="str">
        <f>HYPERLINK("http://www.sec.gov/Archives/edgar/data/1095996/0001628280-16-012633-index.html")</f>
        <v>http://www.sec.gov/Archives/edgar/data/1095996/0001628280-16-012633-index.html</v>
      </c>
    </row>
    <row r="4398" spans="1:6" x14ac:dyDescent="0.2">
      <c r="A4398" t="s">
        <v>3956</v>
      </c>
      <c r="B4398" s="1">
        <v>1115128</v>
      </c>
      <c r="C4398" s="1">
        <v>7310</v>
      </c>
      <c r="D4398" s="2">
        <v>42440</v>
      </c>
      <c r="E4398" s="1" t="s">
        <v>18</v>
      </c>
      <c r="F4398" t="str">
        <f>HYPERLINK("http://www.sec.gov/Archives/edgar/data/1115128/0001564590-16-014569-index.html")</f>
        <v>http://www.sec.gov/Archives/edgar/data/1115128/0001564590-16-014569-index.html</v>
      </c>
    </row>
    <row r="4399" spans="1:6" x14ac:dyDescent="0.2">
      <c r="A4399" t="s">
        <v>3957</v>
      </c>
      <c r="B4399" s="1">
        <v>1118237</v>
      </c>
      <c r="C4399" s="1">
        <v>6021</v>
      </c>
      <c r="D4399" s="2">
        <v>42440</v>
      </c>
      <c r="E4399" s="1" t="s">
        <v>18</v>
      </c>
      <c r="F4399" t="str">
        <f>HYPERLINK("http://www.sec.gov/Archives/edgar/data/1118237/0001437749-16-027524-index.html")</f>
        <v>http://www.sec.gov/Archives/edgar/data/1118237/0001437749-16-027524-index.html</v>
      </c>
    </row>
    <row r="4400" spans="1:6" x14ac:dyDescent="0.2">
      <c r="A4400" t="s">
        <v>3958</v>
      </c>
      <c r="B4400" s="1">
        <v>1122342</v>
      </c>
      <c r="C4400" s="1">
        <v>3674</v>
      </c>
      <c r="D4400" s="2">
        <v>42440</v>
      </c>
      <c r="E4400" s="1" t="s">
        <v>18</v>
      </c>
      <c r="F4400" t="str">
        <f>HYPERLINK("http://www.sec.gov/Archives/edgar/data/1122342/0001206774-16-004875-index.html")</f>
        <v>http://www.sec.gov/Archives/edgar/data/1122342/0001206774-16-004875-index.html</v>
      </c>
    </row>
    <row r="4401" spans="1:6" x14ac:dyDescent="0.2">
      <c r="A4401" t="s">
        <v>3959</v>
      </c>
      <c r="B4401" s="1">
        <v>1130144</v>
      </c>
      <c r="C4401" s="1">
        <v>6022</v>
      </c>
      <c r="D4401" s="2">
        <v>42440</v>
      </c>
      <c r="E4401" s="1" t="s">
        <v>18</v>
      </c>
      <c r="F4401" t="str">
        <f>HYPERLINK("http://www.sec.gov/Archives/edgar/data/1130144/0001144204-16-087351-index.html")</f>
        <v>http://www.sec.gov/Archives/edgar/data/1130144/0001144204-16-087351-index.html</v>
      </c>
    </row>
    <row r="4402" spans="1:6" x14ac:dyDescent="0.2">
      <c r="A4402" t="s">
        <v>3960</v>
      </c>
      <c r="B4402" s="1">
        <v>1132651</v>
      </c>
      <c r="C4402" s="1">
        <v>6021</v>
      </c>
      <c r="D4402" s="2">
        <v>42440</v>
      </c>
      <c r="E4402" s="1" t="s">
        <v>18</v>
      </c>
      <c r="F4402" t="str">
        <f>HYPERLINK("http://www.sec.gov/Archives/edgar/data/1132651/0001437749-16-027471-index.html")</f>
        <v>http://www.sec.gov/Archives/edgar/data/1132651/0001437749-16-027471-index.html</v>
      </c>
    </row>
    <row r="4403" spans="1:6" x14ac:dyDescent="0.2">
      <c r="A4403" t="s">
        <v>3961</v>
      </c>
      <c r="B4403" s="1">
        <v>1141103</v>
      </c>
      <c r="C4403" s="1">
        <v>7363</v>
      </c>
      <c r="D4403" s="2">
        <v>42440</v>
      </c>
      <c r="E4403" s="1" t="s">
        <v>18</v>
      </c>
      <c r="F4403" t="str">
        <f>HYPERLINK("http://www.sec.gov/Archives/edgar/data/1141103/0001628280-16-012617-index.html")</f>
        <v>http://www.sec.gov/Archives/edgar/data/1141103/0001628280-16-012617-index.html</v>
      </c>
    </row>
    <row r="4404" spans="1:6" x14ac:dyDescent="0.2">
      <c r="A4404" t="s">
        <v>3962</v>
      </c>
      <c r="B4404" s="1">
        <v>1157377</v>
      </c>
      <c r="C4404" s="1">
        <v>8741</v>
      </c>
      <c r="D4404" s="2">
        <v>42440</v>
      </c>
      <c r="E4404" s="1" t="s">
        <v>18</v>
      </c>
      <c r="F4404" t="str">
        <f>HYPERLINK("http://www.sec.gov/Archives/edgar/data/1157377/0001157377-16-000017-index.html")</f>
        <v>http://www.sec.gov/Archives/edgar/data/1157377/0001157377-16-000017-index.html</v>
      </c>
    </row>
    <row r="4405" spans="1:6" x14ac:dyDescent="0.2">
      <c r="A4405" t="s">
        <v>3963</v>
      </c>
      <c r="B4405" s="1">
        <v>1157647</v>
      </c>
      <c r="C4405" s="1">
        <v>6035</v>
      </c>
      <c r="D4405" s="2">
        <v>42440</v>
      </c>
      <c r="E4405" s="1" t="s">
        <v>18</v>
      </c>
      <c r="F4405" t="str">
        <f>HYPERLINK("http://www.sec.gov/Archives/edgar/data/1157647/0001387131-16-004556-index.html")</f>
        <v>http://www.sec.gov/Archives/edgar/data/1157647/0001387131-16-004556-index.html</v>
      </c>
    </row>
    <row r="4406" spans="1:6" x14ac:dyDescent="0.2">
      <c r="A4406" t="s">
        <v>3964</v>
      </c>
      <c r="B4406" s="1">
        <v>1159154</v>
      </c>
      <c r="C4406" s="1">
        <v>4512</v>
      </c>
      <c r="D4406" s="2">
        <v>42440</v>
      </c>
      <c r="E4406" s="1" t="s">
        <v>18</v>
      </c>
      <c r="F4406" t="str">
        <f>HYPERLINK("http://www.sec.gov/Archives/edgar/data/1159154/0001159154-16-000178-index.html")</f>
        <v>http://www.sec.gov/Archives/edgar/data/1159154/0001159154-16-000178-index.html</v>
      </c>
    </row>
    <row r="4407" spans="1:6" x14ac:dyDescent="0.2">
      <c r="A4407" t="s">
        <v>3965</v>
      </c>
      <c r="B4407" s="1">
        <v>1163370</v>
      </c>
      <c r="C4407" s="1">
        <v>6035</v>
      </c>
      <c r="D4407" s="2">
        <v>42440</v>
      </c>
      <c r="E4407" s="1" t="s">
        <v>18</v>
      </c>
      <c r="F4407" t="str">
        <f>HYPERLINK("http://www.sec.gov/Archives/edgar/data/1163370/0001163370-16-000051-index.html")</f>
        <v>http://www.sec.gov/Archives/edgar/data/1163370/0001163370-16-000051-index.html</v>
      </c>
    </row>
    <row r="4408" spans="1:6" x14ac:dyDescent="0.2">
      <c r="A4408" t="s">
        <v>3966</v>
      </c>
      <c r="B4408" s="1">
        <v>1169988</v>
      </c>
      <c r="C4408" s="1">
        <v>4899</v>
      </c>
      <c r="D4408" s="2">
        <v>42440</v>
      </c>
      <c r="E4408" s="1" t="s">
        <v>18</v>
      </c>
      <c r="F4408" t="str">
        <f>HYPERLINK("http://www.sec.gov/Archives/edgar/data/1169988/0001047469-16-011022-index.html")</f>
        <v>http://www.sec.gov/Archives/edgar/data/1169988/0001047469-16-011022-index.html</v>
      </c>
    </row>
    <row r="4409" spans="1:6" x14ac:dyDescent="0.2">
      <c r="A4409" t="s">
        <v>3811</v>
      </c>
      <c r="B4409" s="1">
        <v>1171486</v>
      </c>
      <c r="C4409" s="1">
        <v>1221</v>
      </c>
      <c r="D4409" s="2">
        <v>42440</v>
      </c>
      <c r="E4409" s="1" t="s">
        <v>18</v>
      </c>
      <c r="F4409" t="str">
        <f>HYPERLINK("http://www.sec.gov/Archives/edgar/data/1171486/0001171486-16-000028-index.html")</f>
        <v>http://www.sec.gov/Archives/edgar/data/1171486/0001171486-16-000028-index.html</v>
      </c>
    </row>
    <row r="4410" spans="1:6" x14ac:dyDescent="0.2">
      <c r="A4410" t="s">
        <v>3967</v>
      </c>
      <c r="B4410" s="1">
        <v>1173489</v>
      </c>
      <c r="C4410" s="1">
        <v>3674</v>
      </c>
      <c r="D4410" s="2">
        <v>42440</v>
      </c>
      <c r="E4410" s="1" t="s">
        <v>18</v>
      </c>
      <c r="F4410" t="str">
        <f>HYPERLINK("http://www.sec.gov/Archives/edgar/data/1173489/0001193125-16-501526-index.html")</f>
        <v>http://www.sec.gov/Archives/edgar/data/1173489/0001193125-16-501526-index.html</v>
      </c>
    </row>
    <row r="4411" spans="1:6" x14ac:dyDescent="0.2">
      <c r="A4411" t="s">
        <v>3968</v>
      </c>
      <c r="B4411" s="1">
        <v>1175505</v>
      </c>
      <c r="C4411" s="1">
        <v>2834</v>
      </c>
      <c r="D4411" s="2">
        <v>42440</v>
      </c>
      <c r="E4411" s="1" t="s">
        <v>18</v>
      </c>
      <c r="F4411" t="str">
        <f>HYPERLINK("http://www.sec.gov/Archives/edgar/data/1175505/0001564590-16-014596-index.html")</f>
        <v>http://www.sec.gov/Archives/edgar/data/1175505/0001564590-16-014596-index.html</v>
      </c>
    </row>
    <row r="4412" spans="1:6" x14ac:dyDescent="0.2">
      <c r="A4412" t="s">
        <v>3969</v>
      </c>
      <c r="B4412" s="1">
        <v>1220754</v>
      </c>
      <c r="C4412" s="1">
        <v>4700</v>
      </c>
      <c r="D4412" s="2">
        <v>42440</v>
      </c>
      <c r="E4412" s="1" t="s">
        <v>18</v>
      </c>
      <c r="F4412" t="str">
        <f>HYPERLINK("http://www.sec.gov/Archives/edgar/data/1220754/0001437749-16-027522-index.html")</f>
        <v>http://www.sec.gov/Archives/edgar/data/1220754/0001437749-16-027522-index.html</v>
      </c>
    </row>
    <row r="4413" spans="1:6" x14ac:dyDescent="0.2">
      <c r="A4413" t="s">
        <v>3970</v>
      </c>
      <c r="B4413" s="1">
        <v>1253317</v>
      </c>
      <c r="C4413" s="1">
        <v>6022</v>
      </c>
      <c r="D4413" s="2">
        <v>42440</v>
      </c>
      <c r="E4413" s="1" t="s">
        <v>18</v>
      </c>
      <c r="F4413" t="str">
        <f>HYPERLINK("http://www.sec.gov/Archives/edgar/data/1253317/0001558370-16-004069-index.html")</f>
        <v>http://www.sec.gov/Archives/edgar/data/1253317/0001558370-16-004069-index.html</v>
      </c>
    </row>
    <row r="4414" spans="1:6" x14ac:dyDescent="0.2">
      <c r="A4414" t="s">
        <v>3971</v>
      </c>
      <c r="B4414" s="1">
        <v>1266806</v>
      </c>
      <c r="C4414" s="1">
        <v>3845</v>
      </c>
      <c r="D4414" s="2">
        <v>42440</v>
      </c>
      <c r="E4414" s="1" t="s">
        <v>18</v>
      </c>
      <c r="F4414" t="str">
        <f>HYPERLINK("http://www.sec.gov/Archives/edgar/data/1266806/0001615774-16-004462-index.html")</f>
        <v>http://www.sec.gov/Archives/edgar/data/1266806/0001615774-16-004462-index.html</v>
      </c>
    </row>
    <row r="4415" spans="1:6" x14ac:dyDescent="0.2">
      <c r="A4415" t="s">
        <v>3972</v>
      </c>
      <c r="B4415" s="1">
        <v>1274032</v>
      </c>
      <c r="C4415" s="1">
        <v>5065</v>
      </c>
      <c r="D4415" s="2">
        <v>42440</v>
      </c>
      <c r="E4415" s="1" t="s">
        <v>18</v>
      </c>
      <c r="F4415" t="str">
        <f>HYPERLINK("http://www.sec.gov/Archives/edgar/data/1274032/0001193125-16-500760-index.html")</f>
        <v>http://www.sec.gov/Archives/edgar/data/1274032/0001193125-16-500760-index.html</v>
      </c>
    </row>
    <row r="4416" spans="1:6" x14ac:dyDescent="0.2">
      <c r="A4416" t="s">
        <v>3973</v>
      </c>
      <c r="B4416" s="1">
        <v>1274644</v>
      </c>
      <c r="C4416" s="1">
        <v>2834</v>
      </c>
      <c r="D4416" s="2">
        <v>42440</v>
      </c>
      <c r="E4416" s="1" t="s">
        <v>18</v>
      </c>
      <c r="F4416" t="str">
        <f>HYPERLINK("http://www.sec.gov/Archives/edgar/data/1274644/0001274644-16-000107-index.html")</f>
        <v>http://www.sec.gov/Archives/edgar/data/1274644/0001274644-16-000107-index.html</v>
      </c>
    </row>
    <row r="4417" spans="1:6" x14ac:dyDescent="0.2">
      <c r="A4417" t="s">
        <v>3974</v>
      </c>
      <c r="B4417" s="1">
        <v>1275229</v>
      </c>
      <c r="C4417" s="1">
        <v>1000</v>
      </c>
      <c r="D4417" s="2">
        <v>42440</v>
      </c>
      <c r="E4417" s="1" t="s">
        <v>18</v>
      </c>
      <c r="F4417" t="str">
        <f>HYPERLINK("http://www.sec.gov/Archives/edgar/data/1275229/0001558370-16-004056-index.html")</f>
        <v>http://www.sec.gov/Archives/edgar/data/1275229/0001558370-16-004056-index.html</v>
      </c>
    </row>
    <row r="4418" spans="1:6" x14ac:dyDescent="0.2">
      <c r="A4418" t="s">
        <v>3975</v>
      </c>
      <c r="B4418" s="1">
        <v>1279704</v>
      </c>
      <c r="C4418" s="1">
        <v>2834</v>
      </c>
      <c r="D4418" s="2">
        <v>42440</v>
      </c>
      <c r="E4418" s="1" t="s">
        <v>18</v>
      </c>
      <c r="F4418" t="str">
        <f>HYPERLINK("http://www.sec.gov/Archives/edgar/data/1279704/0001144204-16-087438-index.html")</f>
        <v>http://www.sec.gov/Archives/edgar/data/1279704/0001144204-16-087438-index.html</v>
      </c>
    </row>
    <row r="4419" spans="1:6" x14ac:dyDescent="0.2">
      <c r="A4419" t="s">
        <v>3976</v>
      </c>
      <c r="B4419" s="1">
        <v>1288359</v>
      </c>
      <c r="C4419" s="1">
        <v>4813</v>
      </c>
      <c r="D4419" s="2">
        <v>42440</v>
      </c>
      <c r="E4419" s="1" t="s">
        <v>18</v>
      </c>
      <c r="F4419" t="str">
        <f>HYPERLINK("http://www.sec.gov/Archives/edgar/data/1288359/0001571049-16-012932-index.html")</f>
        <v>http://www.sec.gov/Archives/edgar/data/1288359/0001571049-16-012932-index.html</v>
      </c>
    </row>
    <row r="4420" spans="1:6" x14ac:dyDescent="0.2">
      <c r="A4420" t="s">
        <v>3977</v>
      </c>
      <c r="B4420" s="1">
        <v>1289340</v>
      </c>
      <c r="C4420" s="1">
        <v>3845</v>
      </c>
      <c r="D4420" s="2">
        <v>42440</v>
      </c>
      <c r="E4420" s="1" t="s">
        <v>18</v>
      </c>
      <c r="F4420" t="str">
        <f>HYPERLINK("http://www.sec.gov/Archives/edgar/data/1289340/0001193125-16-501650-index.html")</f>
        <v>http://www.sec.gov/Archives/edgar/data/1289340/0001193125-16-501650-index.html</v>
      </c>
    </row>
    <row r="4421" spans="1:6" x14ac:dyDescent="0.2">
      <c r="A4421" t="s">
        <v>3978</v>
      </c>
      <c r="B4421" s="1">
        <v>1290900</v>
      </c>
      <c r="C4421" s="1">
        <v>3714</v>
      </c>
      <c r="D4421" s="2">
        <v>42440</v>
      </c>
      <c r="E4421" s="1" t="s">
        <v>18</v>
      </c>
      <c r="F4421" t="str">
        <f>HYPERLINK("http://www.sec.gov/Archives/edgar/data/1290900/0001628280-16-012603-index.html")</f>
        <v>http://www.sec.gov/Archives/edgar/data/1290900/0001628280-16-012603-index.html</v>
      </c>
    </row>
    <row r="4422" spans="1:6" x14ac:dyDescent="0.2">
      <c r="A4422" t="s">
        <v>3979</v>
      </c>
      <c r="B4422" s="1">
        <v>1293282</v>
      </c>
      <c r="C4422" s="1">
        <v>7389</v>
      </c>
      <c r="D4422" s="2">
        <v>42440</v>
      </c>
      <c r="E4422" s="1" t="s">
        <v>18</v>
      </c>
      <c r="F4422" t="str">
        <f>HYPERLINK("http://www.sec.gov/Archives/edgar/data/1293282/0001193125-16-501216-index.html")</f>
        <v>http://www.sec.gov/Archives/edgar/data/1293282/0001193125-16-501216-index.html</v>
      </c>
    </row>
    <row r="4423" spans="1:6" x14ac:dyDescent="0.2">
      <c r="A4423" t="s">
        <v>3980</v>
      </c>
      <c r="B4423" s="1">
        <v>1299033</v>
      </c>
      <c r="C4423" s="1">
        <v>6211</v>
      </c>
      <c r="D4423" s="2">
        <v>42440</v>
      </c>
      <c r="E4423" s="1" t="s">
        <v>18</v>
      </c>
      <c r="F4423" t="str">
        <f>HYPERLINK("http://www.sec.gov/Archives/edgar/data/1299033/0001299033-16-000031-index.html")</f>
        <v>http://www.sec.gov/Archives/edgar/data/1299033/0001299033-16-000031-index.html</v>
      </c>
    </row>
    <row r="4424" spans="1:6" x14ac:dyDescent="0.2">
      <c r="A4424" t="s">
        <v>3981</v>
      </c>
      <c r="B4424" s="1">
        <v>1299130</v>
      </c>
      <c r="C4424" s="1">
        <v>3826</v>
      </c>
      <c r="D4424" s="2">
        <v>42440</v>
      </c>
      <c r="E4424" s="1" t="s">
        <v>18</v>
      </c>
      <c r="F4424" t="str">
        <f>HYPERLINK("http://www.sec.gov/Archives/edgar/data/1299130/0001299130-16-000186-index.html")</f>
        <v>http://www.sec.gov/Archives/edgar/data/1299130/0001299130-16-000186-index.html</v>
      </c>
    </row>
    <row r="4425" spans="1:6" x14ac:dyDescent="0.2">
      <c r="A4425" t="s">
        <v>3982</v>
      </c>
      <c r="B4425" s="1">
        <v>1302350</v>
      </c>
      <c r="C4425" s="1">
        <v>6211</v>
      </c>
      <c r="D4425" s="2">
        <v>42440</v>
      </c>
      <c r="E4425" s="1" t="s">
        <v>18</v>
      </c>
      <c r="F4425" t="str">
        <f>HYPERLINK("http://www.sec.gov/Archives/edgar/data/1302350/0001437749-16-027493-index.html")</f>
        <v>http://www.sec.gov/Archives/edgar/data/1302350/0001437749-16-027493-index.html</v>
      </c>
    </row>
    <row r="4426" spans="1:6" x14ac:dyDescent="0.2">
      <c r="A4426" t="s">
        <v>3983</v>
      </c>
      <c r="B4426" s="1">
        <v>1309141</v>
      </c>
      <c r="C4426" s="1">
        <v>7310</v>
      </c>
      <c r="D4426" s="2">
        <v>42440</v>
      </c>
      <c r="E4426" s="1" t="s">
        <v>18</v>
      </c>
      <c r="F4426" t="str">
        <f>HYPERLINK("http://www.sec.gov/Archives/edgar/data/1309141/0001551163-16-000319-index.html")</f>
        <v>http://www.sec.gov/Archives/edgar/data/1309141/0001551163-16-000319-index.html</v>
      </c>
    </row>
    <row r="4427" spans="1:6" x14ac:dyDescent="0.2">
      <c r="A4427" t="s">
        <v>3984</v>
      </c>
      <c r="B4427" s="1">
        <v>1314475</v>
      </c>
      <c r="C4427" s="1">
        <v>7389</v>
      </c>
      <c r="D4427" s="2">
        <v>42440</v>
      </c>
      <c r="E4427" s="1" t="s">
        <v>18</v>
      </c>
      <c r="F4427" t="str">
        <f>HYPERLINK("http://www.sec.gov/Archives/edgar/data/1314475/0001564590-16-014485-index.html")</f>
        <v>http://www.sec.gov/Archives/edgar/data/1314475/0001564590-16-014485-index.html</v>
      </c>
    </row>
    <row r="4428" spans="1:6" x14ac:dyDescent="0.2">
      <c r="A4428" t="s">
        <v>3985</v>
      </c>
      <c r="B4428" s="1">
        <v>1316944</v>
      </c>
      <c r="C4428" s="1">
        <v>6111</v>
      </c>
      <c r="D4428" s="2">
        <v>42440</v>
      </c>
      <c r="E4428" s="1" t="s">
        <v>18</v>
      </c>
      <c r="F4428" t="str">
        <f>HYPERLINK("http://www.sec.gov/Archives/edgar/data/1316944/0001316944-16-000282-index.html")</f>
        <v>http://www.sec.gov/Archives/edgar/data/1316944/0001316944-16-000282-index.html</v>
      </c>
    </row>
    <row r="4429" spans="1:6" x14ac:dyDescent="0.2">
      <c r="A4429" t="s">
        <v>3986</v>
      </c>
      <c r="B4429" s="1">
        <v>1323648</v>
      </c>
      <c r="C4429" s="1">
        <v>6022</v>
      </c>
      <c r="D4429" s="2">
        <v>42440</v>
      </c>
      <c r="E4429" s="1" t="s">
        <v>18</v>
      </c>
      <c r="F4429" t="str">
        <f>HYPERLINK("http://www.sec.gov/Archives/edgar/data/1323648/0001144204-16-087620-index.html")</f>
        <v>http://www.sec.gov/Archives/edgar/data/1323648/0001144204-16-087620-index.html</v>
      </c>
    </row>
    <row r="4430" spans="1:6" x14ac:dyDescent="0.2">
      <c r="A4430" t="s">
        <v>3987</v>
      </c>
      <c r="B4430" s="1">
        <v>1326003</v>
      </c>
      <c r="C4430" s="1">
        <v>2621</v>
      </c>
      <c r="D4430" s="2">
        <v>42440</v>
      </c>
      <c r="E4430" s="1" t="s">
        <v>42</v>
      </c>
      <c r="F4430" t="str">
        <f>HYPERLINK("http://www.sec.gov/Archives/edgar/data/1326003/0001193125-16-500763-index.html")</f>
        <v>http://www.sec.gov/Archives/edgar/data/1326003/0001193125-16-500763-index.html</v>
      </c>
    </row>
    <row r="4431" spans="1:6" x14ac:dyDescent="0.2">
      <c r="A4431" t="s">
        <v>3988</v>
      </c>
      <c r="B4431" s="1">
        <v>1326190</v>
      </c>
      <c r="C4431" s="1">
        <v>2834</v>
      </c>
      <c r="D4431" s="2">
        <v>42440</v>
      </c>
      <c r="E4431" s="1" t="s">
        <v>18</v>
      </c>
      <c r="F4431" t="str">
        <f>HYPERLINK("http://www.sec.gov/Archives/edgar/data/1326190/0001144204-16-087617-index.html")</f>
        <v>http://www.sec.gov/Archives/edgar/data/1326190/0001144204-16-087617-index.html</v>
      </c>
    </row>
    <row r="4432" spans="1:6" x14ac:dyDescent="0.2">
      <c r="A4432" t="s">
        <v>3989</v>
      </c>
      <c r="B4432" s="1">
        <v>1331754</v>
      </c>
      <c r="C4432" s="1">
        <v>6111</v>
      </c>
      <c r="D4432" s="2">
        <v>42440</v>
      </c>
      <c r="E4432" s="1" t="s">
        <v>18</v>
      </c>
      <c r="F4432" t="str">
        <f>HYPERLINK("http://www.sec.gov/Archives/edgar/data/1331754/0001331754-16-000277-index.html")</f>
        <v>http://www.sec.gov/Archives/edgar/data/1331754/0001331754-16-000277-index.html</v>
      </c>
    </row>
    <row r="4433" spans="1:6" x14ac:dyDescent="0.2">
      <c r="A4433" t="s">
        <v>3990</v>
      </c>
      <c r="B4433" s="1">
        <v>1346830</v>
      </c>
      <c r="C4433" s="1">
        <v>2834</v>
      </c>
      <c r="D4433" s="2">
        <v>42440</v>
      </c>
      <c r="E4433" s="1" t="s">
        <v>18</v>
      </c>
      <c r="F4433" t="str">
        <f>HYPERLINK("http://www.sec.gov/Archives/edgar/data/1346830/0001193125-16-500345-index.html")</f>
        <v>http://www.sec.gov/Archives/edgar/data/1346830/0001193125-16-500345-index.html</v>
      </c>
    </row>
    <row r="4434" spans="1:6" x14ac:dyDescent="0.2">
      <c r="A4434" t="s">
        <v>3991</v>
      </c>
      <c r="B4434" s="1">
        <v>1350102</v>
      </c>
      <c r="C4434" s="1">
        <v>3674</v>
      </c>
      <c r="D4434" s="2">
        <v>42440</v>
      </c>
      <c r="E4434" s="1" t="s">
        <v>18</v>
      </c>
      <c r="F4434" t="str">
        <f>HYPERLINK("http://www.sec.gov/Archives/edgar/data/1350102/0001350102-16-000140-index.html")</f>
        <v>http://www.sec.gov/Archives/edgar/data/1350102/0001350102-16-000140-index.html</v>
      </c>
    </row>
    <row r="4435" spans="1:6" x14ac:dyDescent="0.2">
      <c r="A4435" t="s">
        <v>3992</v>
      </c>
      <c r="B4435" s="1">
        <v>1354327</v>
      </c>
      <c r="C4435" s="1">
        <v>3442</v>
      </c>
      <c r="D4435" s="2">
        <v>42440</v>
      </c>
      <c r="E4435" s="1" t="s">
        <v>18</v>
      </c>
      <c r="F4435" t="str">
        <f>HYPERLINK("http://www.sec.gov/Archives/edgar/data/1354327/0001193125-16-501425-index.html")</f>
        <v>http://www.sec.gov/Archives/edgar/data/1354327/0001193125-16-501425-index.html</v>
      </c>
    </row>
    <row r="4436" spans="1:6" x14ac:dyDescent="0.2">
      <c r="A4436" t="s">
        <v>3993</v>
      </c>
      <c r="B4436" s="1">
        <v>1355786</v>
      </c>
      <c r="C4436" s="1">
        <v>6036</v>
      </c>
      <c r="D4436" s="2">
        <v>42440</v>
      </c>
      <c r="E4436" s="1" t="s">
        <v>18</v>
      </c>
      <c r="F4436" t="str">
        <f>HYPERLINK("http://www.sec.gov/Archives/edgar/data/1355786/0001355786-16-000014-index.html")</f>
        <v>http://www.sec.gov/Archives/edgar/data/1355786/0001355786-16-000014-index.html</v>
      </c>
    </row>
    <row r="4437" spans="1:6" x14ac:dyDescent="0.2">
      <c r="A4437" t="s">
        <v>3994</v>
      </c>
      <c r="B4437" s="1">
        <v>1358483</v>
      </c>
      <c r="C4437" s="1">
        <v>7374</v>
      </c>
      <c r="D4437" s="2">
        <v>42440</v>
      </c>
      <c r="E4437" s="1" t="s">
        <v>18</v>
      </c>
      <c r="F4437" t="str">
        <f>HYPERLINK("http://www.sec.gov/Archives/edgar/data/1358483/0001571049-16-012926-index.html")</f>
        <v>http://www.sec.gov/Archives/edgar/data/1358483/0001571049-16-012926-index.html</v>
      </c>
    </row>
    <row r="4438" spans="1:6" x14ac:dyDescent="0.2">
      <c r="A4438" t="s">
        <v>3995</v>
      </c>
      <c r="B4438" s="1">
        <v>1364856</v>
      </c>
      <c r="C4438" s="1">
        <v>6022</v>
      </c>
      <c r="D4438" s="2">
        <v>42440</v>
      </c>
      <c r="E4438" s="1" t="s">
        <v>18</v>
      </c>
      <c r="F4438" t="str">
        <f>HYPERLINK("http://www.sec.gov/Archives/edgar/data/1364856/0001364856-16-000052-index.html")</f>
        <v>http://www.sec.gov/Archives/edgar/data/1364856/0001364856-16-000052-index.html</v>
      </c>
    </row>
    <row r="4439" spans="1:6" x14ac:dyDescent="0.2">
      <c r="A4439" t="s">
        <v>3996</v>
      </c>
      <c r="B4439" s="1">
        <v>1365216</v>
      </c>
      <c r="C4439" s="1">
        <v>2834</v>
      </c>
      <c r="D4439" s="2">
        <v>42440</v>
      </c>
      <c r="E4439" s="1" t="s">
        <v>18</v>
      </c>
      <c r="F4439" t="str">
        <f>HYPERLINK("http://www.sec.gov/Archives/edgar/data/1365216/0001171843-16-008505-index.html")</f>
        <v>http://www.sec.gov/Archives/edgar/data/1365216/0001171843-16-008505-index.html</v>
      </c>
    </row>
    <row r="4440" spans="1:6" x14ac:dyDescent="0.2">
      <c r="A4440" t="s">
        <v>3997</v>
      </c>
      <c r="B4440" s="1">
        <v>1366367</v>
      </c>
      <c r="C4440" s="1">
        <v>6022</v>
      </c>
      <c r="D4440" s="2">
        <v>42440</v>
      </c>
      <c r="E4440" s="1" t="s">
        <v>18</v>
      </c>
      <c r="F4440" t="str">
        <f>HYPERLINK("http://www.sec.gov/Archives/edgar/data/1366367/0001366367-16-000115-index.html")</f>
        <v>http://www.sec.gov/Archives/edgar/data/1366367/0001366367-16-000115-index.html</v>
      </c>
    </row>
    <row r="4441" spans="1:6" x14ac:dyDescent="0.2">
      <c r="A4441" t="s">
        <v>3998</v>
      </c>
      <c r="B4441" s="1">
        <v>1367311</v>
      </c>
      <c r="C4441" s="1">
        <v>5171</v>
      </c>
      <c r="D4441" s="2">
        <v>42440</v>
      </c>
      <c r="E4441" s="1" t="s">
        <v>18</v>
      </c>
      <c r="F4441" t="str">
        <f>HYPERLINK("http://www.sec.gov/Archives/edgar/data/1367311/0000897101-16-001990-index.html")</f>
        <v>http://www.sec.gov/Archives/edgar/data/1367311/0000897101-16-001990-index.html</v>
      </c>
    </row>
    <row r="4442" spans="1:6" x14ac:dyDescent="0.2">
      <c r="A4442" t="s">
        <v>3999</v>
      </c>
      <c r="B4442" s="1">
        <v>1368148</v>
      </c>
      <c r="C4442" s="1">
        <v>2834</v>
      </c>
      <c r="D4442" s="2">
        <v>42440</v>
      </c>
      <c r="E4442" s="1" t="s">
        <v>18</v>
      </c>
      <c r="F4442" t="str">
        <f>HYPERLINK("http://www.sec.gov/Archives/edgar/data/1368148/0001193125-16-500404-index.html")</f>
        <v>http://www.sec.gov/Archives/edgar/data/1368148/0001193125-16-500404-index.html</v>
      </c>
    </row>
    <row r="4443" spans="1:6" x14ac:dyDescent="0.2">
      <c r="A4443" t="s">
        <v>4000</v>
      </c>
      <c r="B4443" s="1">
        <v>1378950</v>
      </c>
      <c r="C4443" s="1">
        <v>5531</v>
      </c>
      <c r="D4443" s="2">
        <v>42440</v>
      </c>
      <c r="E4443" s="1" t="s">
        <v>18</v>
      </c>
      <c r="F4443" t="str">
        <f>HYPERLINK("http://www.sec.gov/Archives/edgar/data/1378950/0001628280-16-012612-index.html")</f>
        <v>http://www.sec.gov/Archives/edgar/data/1378950/0001628280-16-012612-index.html</v>
      </c>
    </row>
    <row r="4444" spans="1:6" x14ac:dyDescent="0.2">
      <c r="A4444" t="s">
        <v>4001</v>
      </c>
      <c r="B4444" s="1">
        <v>1383701</v>
      </c>
      <c r="C4444" s="1">
        <v>2834</v>
      </c>
      <c r="D4444" s="2">
        <v>42440</v>
      </c>
      <c r="E4444" s="1" t="s">
        <v>18</v>
      </c>
      <c r="F4444" t="str">
        <f>HYPERLINK("http://www.sec.gov/Archives/edgar/data/1383701/0001564590-16-014564-index.html")</f>
        <v>http://www.sec.gov/Archives/edgar/data/1383701/0001564590-16-014564-index.html</v>
      </c>
    </row>
    <row r="4445" spans="1:6" x14ac:dyDescent="0.2">
      <c r="A4445" t="s">
        <v>4002</v>
      </c>
      <c r="B4445" s="1">
        <v>1388320</v>
      </c>
      <c r="C4445" s="1">
        <v>2834</v>
      </c>
      <c r="D4445" s="2">
        <v>42440</v>
      </c>
      <c r="E4445" s="1" t="s">
        <v>18</v>
      </c>
      <c r="F4445" t="str">
        <f>HYPERLINK("http://www.sec.gov/Archives/edgar/data/1388320/0001213900-16-011534-index.html")</f>
        <v>http://www.sec.gov/Archives/edgar/data/1388320/0001213900-16-011534-index.html</v>
      </c>
    </row>
    <row r="4446" spans="1:6" x14ac:dyDescent="0.2">
      <c r="A4446" t="s">
        <v>1659</v>
      </c>
      <c r="B4446" s="1">
        <v>1390478</v>
      </c>
      <c r="C4446" s="1">
        <v>2834</v>
      </c>
      <c r="D4446" s="2">
        <v>42440</v>
      </c>
      <c r="E4446" s="1" t="s">
        <v>42</v>
      </c>
      <c r="F4446" t="str">
        <f>HYPERLINK("http://www.sec.gov/Archives/edgar/data/1390478/0001390478-16-000090-index.html")</f>
        <v>http://www.sec.gov/Archives/edgar/data/1390478/0001390478-16-000090-index.html</v>
      </c>
    </row>
    <row r="4447" spans="1:6" x14ac:dyDescent="0.2">
      <c r="A4447" t="s">
        <v>4003</v>
      </c>
      <c r="B4447" s="1">
        <v>1394156</v>
      </c>
      <c r="C4447" s="1">
        <v>5812</v>
      </c>
      <c r="D4447" s="2">
        <v>42440</v>
      </c>
      <c r="E4447" s="1" t="s">
        <v>18</v>
      </c>
      <c r="F4447" t="str">
        <f>HYPERLINK("http://www.sec.gov/Archives/edgar/data/1394156/0001394156-16-000057-index.html")</f>
        <v>http://www.sec.gov/Archives/edgar/data/1394156/0001394156-16-000057-index.html</v>
      </c>
    </row>
    <row r="4448" spans="1:6" x14ac:dyDescent="0.2">
      <c r="A4448" t="s">
        <v>4004</v>
      </c>
      <c r="B4448" s="1">
        <v>1395585</v>
      </c>
      <c r="C4448" s="1">
        <v>6311</v>
      </c>
      <c r="D4448" s="2">
        <v>42440</v>
      </c>
      <c r="E4448" s="1" t="s">
        <v>18</v>
      </c>
      <c r="F4448" t="str">
        <f>HYPERLINK("http://www.sec.gov/Archives/edgar/data/1395585/0001437749-16-027430-index.html")</f>
        <v>http://www.sec.gov/Archives/edgar/data/1395585/0001437749-16-027430-index.html</v>
      </c>
    </row>
    <row r="4449" spans="1:6" x14ac:dyDescent="0.2">
      <c r="A4449" t="s">
        <v>4005</v>
      </c>
      <c r="B4449" s="1">
        <v>1396878</v>
      </c>
      <c r="C4449" s="1">
        <v>6221</v>
      </c>
      <c r="D4449" s="2">
        <v>42440</v>
      </c>
      <c r="E4449" s="1" t="s">
        <v>18</v>
      </c>
      <c r="F4449" t="str">
        <f>HYPERLINK("http://www.sec.gov/Archives/edgar/data/1396878/0001144204-16-087485-index.html")</f>
        <v>http://www.sec.gov/Archives/edgar/data/1396878/0001144204-16-087485-index.html</v>
      </c>
    </row>
    <row r="4450" spans="1:6" x14ac:dyDescent="0.2">
      <c r="A4450" t="s">
        <v>4006</v>
      </c>
      <c r="B4450" s="1">
        <v>1400482</v>
      </c>
      <c r="C4450" s="1">
        <v>2834</v>
      </c>
      <c r="D4450" s="2">
        <v>42440</v>
      </c>
      <c r="E4450" s="1" t="s">
        <v>18</v>
      </c>
      <c r="F4450" t="str">
        <f>HYPERLINK("http://www.sec.gov/Archives/edgar/data/1400482/0001400482-16-000127-index.html")</f>
        <v>http://www.sec.gov/Archives/edgar/data/1400482/0001400482-16-000127-index.html</v>
      </c>
    </row>
    <row r="4451" spans="1:6" x14ac:dyDescent="0.2">
      <c r="A4451" t="s">
        <v>4007</v>
      </c>
      <c r="B4451" s="1">
        <v>1401708</v>
      </c>
      <c r="C4451" s="1">
        <v>2836</v>
      </c>
      <c r="D4451" s="2">
        <v>42440</v>
      </c>
      <c r="E4451" s="1" t="s">
        <v>18</v>
      </c>
      <c r="F4451" t="str">
        <f>HYPERLINK("http://www.sec.gov/Archives/edgar/data/1401708/0001193125-16-501709-index.html")</f>
        <v>http://www.sec.gov/Archives/edgar/data/1401708/0001193125-16-501709-index.html</v>
      </c>
    </row>
    <row r="4452" spans="1:6" x14ac:dyDescent="0.2">
      <c r="A4452" t="s">
        <v>4008</v>
      </c>
      <c r="B4452" s="1">
        <v>1403475</v>
      </c>
      <c r="C4452" s="1">
        <v>6022</v>
      </c>
      <c r="D4452" s="2">
        <v>42440</v>
      </c>
      <c r="E4452" s="1" t="s">
        <v>18</v>
      </c>
      <c r="F4452" t="str">
        <f>HYPERLINK("http://www.sec.gov/Archives/edgar/data/1403475/0001403475-16-000064-index.html")</f>
        <v>http://www.sec.gov/Archives/edgar/data/1403475/0001403475-16-000064-index.html</v>
      </c>
    </row>
    <row r="4453" spans="1:6" x14ac:dyDescent="0.2">
      <c r="A4453" t="s">
        <v>4009</v>
      </c>
      <c r="B4453" s="1">
        <v>1405528</v>
      </c>
      <c r="C4453" s="1">
        <v>6221</v>
      </c>
      <c r="D4453" s="2">
        <v>42440</v>
      </c>
      <c r="E4453" s="1" t="s">
        <v>18</v>
      </c>
      <c r="F4453" t="str">
        <f>HYPERLINK("http://www.sec.gov/Archives/edgar/data/1405528/0001144204-16-087484-index.html")</f>
        <v>http://www.sec.gov/Archives/edgar/data/1405528/0001144204-16-087484-index.html</v>
      </c>
    </row>
    <row r="4454" spans="1:6" x14ac:dyDescent="0.2">
      <c r="A4454" t="s">
        <v>4010</v>
      </c>
      <c r="B4454" s="1">
        <v>1411342</v>
      </c>
      <c r="C4454" s="1">
        <v>6500</v>
      </c>
      <c r="D4454" s="2">
        <v>42440</v>
      </c>
      <c r="E4454" s="1" t="s">
        <v>18</v>
      </c>
      <c r="F4454" t="str">
        <f>HYPERLINK("http://www.sec.gov/Archives/edgar/data/1411342/0001411342-16-000114-index.html")</f>
        <v>http://www.sec.gov/Archives/edgar/data/1411342/0001411342-16-000114-index.html</v>
      </c>
    </row>
    <row r="4455" spans="1:6" x14ac:dyDescent="0.2">
      <c r="A4455" t="s">
        <v>4011</v>
      </c>
      <c r="B4455" s="1">
        <v>1419600</v>
      </c>
      <c r="C4455" s="1">
        <v>2834</v>
      </c>
      <c r="D4455" s="2">
        <v>42440</v>
      </c>
      <c r="E4455" s="1" t="s">
        <v>18</v>
      </c>
      <c r="F4455" t="str">
        <f>HYPERLINK("http://www.sec.gov/Archives/edgar/data/1419600/0001193125-16-501453-index.html")</f>
        <v>http://www.sec.gov/Archives/edgar/data/1419600/0001193125-16-501453-index.html</v>
      </c>
    </row>
    <row r="4456" spans="1:6" x14ac:dyDescent="0.2">
      <c r="A4456" t="s">
        <v>4012</v>
      </c>
      <c r="B4456" s="1">
        <v>1421907</v>
      </c>
      <c r="C4456" s="1">
        <v>1000</v>
      </c>
      <c r="D4456" s="2">
        <v>42440</v>
      </c>
      <c r="E4456" s="1" t="s">
        <v>18</v>
      </c>
      <c r="F4456" t="str">
        <f>HYPERLINK("http://www.sec.gov/Archives/edgar/data/1421907/0001165527-16-000688-index.html")</f>
        <v>http://www.sec.gov/Archives/edgar/data/1421907/0001165527-16-000688-index.html</v>
      </c>
    </row>
    <row r="4457" spans="1:6" x14ac:dyDescent="0.2">
      <c r="A4457" t="s">
        <v>1319</v>
      </c>
      <c r="B4457" s="1">
        <v>1425173</v>
      </c>
      <c r="C4457" s="1">
        <v>1000</v>
      </c>
      <c r="D4457" s="2">
        <v>42440</v>
      </c>
      <c r="E4457" s="1" t="s">
        <v>18</v>
      </c>
      <c r="F4457" t="str">
        <f>HYPERLINK("http://www.sec.gov/Archives/edgar/data/1425173/0000721748-16-001043-index.html")</f>
        <v>http://www.sec.gov/Archives/edgar/data/1425173/0000721748-16-001043-index.html</v>
      </c>
    </row>
    <row r="4458" spans="1:6" x14ac:dyDescent="0.2">
      <c r="A4458" t="s">
        <v>4013</v>
      </c>
      <c r="B4458" s="1">
        <v>1425205</v>
      </c>
      <c r="C4458" s="1">
        <v>2836</v>
      </c>
      <c r="D4458" s="2">
        <v>42440</v>
      </c>
      <c r="E4458" s="1" t="s">
        <v>18</v>
      </c>
      <c r="F4458" t="str">
        <f>HYPERLINK("http://www.sec.gov/Archives/edgar/data/1425205/0001144204-16-087506-index.html")</f>
        <v>http://www.sec.gov/Archives/edgar/data/1425205/0001144204-16-087506-index.html</v>
      </c>
    </row>
    <row r="4459" spans="1:6" x14ac:dyDescent="0.2">
      <c r="A4459" t="s">
        <v>4014</v>
      </c>
      <c r="B4459" s="1">
        <v>1426800</v>
      </c>
      <c r="C4459" s="1">
        <v>2834</v>
      </c>
      <c r="D4459" s="2">
        <v>42440</v>
      </c>
      <c r="E4459" s="1" t="s">
        <v>18</v>
      </c>
      <c r="F4459" t="str">
        <f>HYPERLINK("http://www.sec.gov/Archives/edgar/data/1426800/0001144204-16-087539-index.html")</f>
        <v>http://www.sec.gov/Archives/edgar/data/1426800/0001144204-16-087539-index.html</v>
      </c>
    </row>
    <row r="4460" spans="1:6" x14ac:dyDescent="0.2">
      <c r="A4460" t="s">
        <v>4015</v>
      </c>
      <c r="B4460" s="1">
        <v>1444397</v>
      </c>
      <c r="C4460" s="1">
        <v>6035</v>
      </c>
      <c r="D4460" s="2">
        <v>42440</v>
      </c>
      <c r="E4460" s="1" t="s">
        <v>18</v>
      </c>
      <c r="F4460" t="str">
        <f>HYPERLINK("http://www.sec.gov/Archives/edgar/data/1444397/0001144204-16-087591-index.html")</f>
        <v>http://www.sec.gov/Archives/edgar/data/1444397/0001144204-16-087591-index.html</v>
      </c>
    </row>
    <row r="4461" spans="1:6" x14ac:dyDescent="0.2">
      <c r="A4461" t="s">
        <v>4016</v>
      </c>
      <c r="B4461" s="1">
        <v>1449488</v>
      </c>
      <c r="C4461" s="1">
        <v>1389</v>
      </c>
      <c r="D4461" s="2">
        <v>42440</v>
      </c>
      <c r="E4461" s="1" t="s">
        <v>42</v>
      </c>
      <c r="F4461" t="str">
        <f>HYPERLINK("http://www.sec.gov/Archives/edgar/data/1449488/0001449488-16-000093-index.html")</f>
        <v>http://www.sec.gov/Archives/edgar/data/1449488/0001449488-16-000093-index.html</v>
      </c>
    </row>
    <row r="4462" spans="1:6" x14ac:dyDescent="0.2">
      <c r="A4462" t="s">
        <v>3241</v>
      </c>
      <c r="B4462" s="1">
        <v>1452857</v>
      </c>
      <c r="C4462" s="1">
        <v>3390</v>
      </c>
      <c r="D4462" s="2">
        <v>42440</v>
      </c>
      <c r="E4462" s="1" t="s">
        <v>18</v>
      </c>
      <c r="F4462" t="str">
        <f>HYPERLINK("http://www.sec.gov/Archives/edgar/data/1452857/0001452857-16-000034-index.html")</f>
        <v>http://www.sec.gov/Archives/edgar/data/1452857/0001452857-16-000034-index.html</v>
      </c>
    </row>
    <row r="4463" spans="1:6" x14ac:dyDescent="0.2">
      <c r="A4463" t="s">
        <v>4017</v>
      </c>
      <c r="B4463" s="1">
        <v>1465885</v>
      </c>
      <c r="C4463" s="1">
        <v>6798</v>
      </c>
      <c r="D4463" s="2">
        <v>42440</v>
      </c>
      <c r="E4463" s="1" t="s">
        <v>18</v>
      </c>
      <c r="F4463" t="str">
        <f>HYPERLINK("http://www.sec.gov/Archives/edgar/data/1465885/0001047469-16-011025-index.html")</f>
        <v>http://www.sec.gov/Archives/edgar/data/1465885/0001047469-16-011025-index.html</v>
      </c>
    </row>
    <row r="4464" spans="1:6" x14ac:dyDescent="0.2">
      <c r="A4464" t="s">
        <v>4018</v>
      </c>
      <c r="B4464" s="1">
        <v>1466085</v>
      </c>
      <c r="C4464" s="1">
        <v>6798</v>
      </c>
      <c r="D4464" s="2">
        <v>42440</v>
      </c>
      <c r="E4464" s="1" t="s">
        <v>18</v>
      </c>
      <c r="F4464" t="str">
        <f>HYPERLINK("http://www.sec.gov/Archives/edgar/data/1466085/0001564590-16-014497-index.html")</f>
        <v>http://www.sec.gov/Archives/edgar/data/1466085/0001564590-16-014497-index.html</v>
      </c>
    </row>
    <row r="4465" spans="1:6" x14ac:dyDescent="0.2">
      <c r="A4465" t="s">
        <v>4019</v>
      </c>
      <c r="B4465" s="1">
        <v>1468328</v>
      </c>
      <c r="C4465" s="1">
        <v>8082</v>
      </c>
      <c r="D4465" s="2">
        <v>42440</v>
      </c>
      <c r="E4465" s="1" t="s">
        <v>18</v>
      </c>
      <c r="F4465" t="str">
        <f>HYPERLINK("http://www.sec.gov/Archives/edgar/data/1468328/0001193125-16-501371-index.html")</f>
        <v>http://www.sec.gov/Archives/edgar/data/1468328/0001193125-16-501371-index.html</v>
      </c>
    </row>
    <row r="4466" spans="1:6" x14ac:dyDescent="0.2">
      <c r="A4466" t="s">
        <v>4020</v>
      </c>
      <c r="B4466" s="1">
        <v>1469367</v>
      </c>
      <c r="C4466" s="1">
        <v>3430</v>
      </c>
      <c r="D4466" s="2">
        <v>42440</v>
      </c>
      <c r="E4466" s="1" t="s">
        <v>18</v>
      </c>
      <c r="F4466" t="str">
        <f>HYPERLINK("http://www.sec.gov/Archives/edgar/data/1469367/0001564590-16-014482-index.html")</f>
        <v>http://www.sec.gov/Archives/edgar/data/1469367/0001564590-16-014482-index.html</v>
      </c>
    </row>
    <row r="4467" spans="1:6" x14ac:dyDescent="0.2">
      <c r="A4467" t="s">
        <v>4021</v>
      </c>
      <c r="B4467" s="1">
        <v>1472494</v>
      </c>
      <c r="C4467" s="1">
        <v>6221</v>
      </c>
      <c r="D4467" s="2">
        <v>42440</v>
      </c>
      <c r="E4467" s="1" t="s">
        <v>18</v>
      </c>
      <c r="F4467" t="str">
        <f>HYPERLINK("http://www.sec.gov/Archives/edgar/data/1472494/0001144204-16-087486-index.html")</f>
        <v>http://www.sec.gov/Archives/edgar/data/1472494/0001144204-16-087486-index.html</v>
      </c>
    </row>
    <row r="4468" spans="1:6" x14ac:dyDescent="0.2">
      <c r="A4468" t="s">
        <v>4022</v>
      </c>
      <c r="B4468" s="1">
        <v>1479247</v>
      </c>
      <c r="C4468" s="1">
        <v>6221</v>
      </c>
      <c r="D4468" s="2">
        <v>42440</v>
      </c>
      <c r="E4468" s="1" t="s">
        <v>18</v>
      </c>
      <c r="F4468" t="str">
        <f>HYPERLINK("http://www.sec.gov/Archives/edgar/data/1479247/0001144204-16-087488-index.html")</f>
        <v>http://www.sec.gov/Archives/edgar/data/1479247/0001144204-16-087488-index.html</v>
      </c>
    </row>
    <row r="4469" spans="1:6" x14ac:dyDescent="0.2">
      <c r="A4469" t="s">
        <v>4023</v>
      </c>
      <c r="B4469" s="1">
        <v>1499912</v>
      </c>
      <c r="C4469" s="1">
        <v>6200</v>
      </c>
      <c r="D4469" s="2">
        <v>42440</v>
      </c>
      <c r="E4469" s="1" t="s">
        <v>18</v>
      </c>
      <c r="F4469" t="str">
        <f>HYPERLINK("http://www.sec.gov/Archives/edgar/data/1499912/0001499912-16-000015-index.html")</f>
        <v>http://www.sec.gov/Archives/edgar/data/1499912/0001499912-16-000015-index.html</v>
      </c>
    </row>
    <row r="4470" spans="1:6" x14ac:dyDescent="0.2">
      <c r="A4470" t="s">
        <v>4024</v>
      </c>
      <c r="B4470" s="1">
        <v>1500213</v>
      </c>
      <c r="C4470" s="1">
        <v>6035</v>
      </c>
      <c r="D4470" s="2">
        <v>42440</v>
      </c>
      <c r="E4470" s="1" t="s">
        <v>18</v>
      </c>
      <c r="F4470" t="str">
        <f>HYPERLINK("http://www.sec.gov/Archives/edgar/data/1500213/0001500213-16-000049-index.html")</f>
        <v>http://www.sec.gov/Archives/edgar/data/1500213/0001500213-16-000049-index.html</v>
      </c>
    </row>
    <row r="4471" spans="1:6" x14ac:dyDescent="0.2">
      <c r="A4471" t="s">
        <v>4025</v>
      </c>
      <c r="B4471" s="1">
        <v>1500554</v>
      </c>
      <c r="C4471" s="1">
        <v>6798</v>
      </c>
      <c r="D4471" s="2">
        <v>42440</v>
      </c>
      <c r="E4471" s="1" t="s">
        <v>18</v>
      </c>
      <c r="F4471" t="str">
        <f>HYPERLINK("http://www.sec.gov/Archives/edgar/data/1500554/0001500554-16-000023-index.html")</f>
        <v>http://www.sec.gov/Archives/edgar/data/1500554/0001500554-16-000023-index.html</v>
      </c>
    </row>
    <row r="4472" spans="1:6" x14ac:dyDescent="0.2">
      <c r="A4472" t="s">
        <v>4026</v>
      </c>
      <c r="B4472" s="1">
        <v>1501729</v>
      </c>
      <c r="C4472" s="1">
        <v>6798</v>
      </c>
      <c r="D4472" s="2">
        <v>42440</v>
      </c>
      <c r="E4472" s="1" t="s">
        <v>18</v>
      </c>
      <c r="F4472" t="str">
        <f>HYPERLINK("http://www.sec.gov/Archives/edgar/data/1501729/0001047469-16-011041-index.html")</f>
        <v>http://www.sec.gov/Archives/edgar/data/1501729/0001047469-16-011041-index.html</v>
      </c>
    </row>
    <row r="4473" spans="1:6" x14ac:dyDescent="0.2">
      <c r="A4473" t="s">
        <v>4027</v>
      </c>
      <c r="B4473" s="1">
        <v>1511198</v>
      </c>
      <c r="C4473" s="1">
        <v>6036</v>
      </c>
      <c r="D4473" s="2">
        <v>42440</v>
      </c>
      <c r="E4473" s="1" t="s">
        <v>18</v>
      </c>
      <c r="F4473" t="str">
        <f>HYPERLINK("http://www.sec.gov/Archives/edgar/data/1511198/0001571049-16-012931-index.html")</f>
        <v>http://www.sec.gov/Archives/edgar/data/1511198/0001571049-16-012931-index.html</v>
      </c>
    </row>
    <row r="4474" spans="1:6" x14ac:dyDescent="0.2">
      <c r="A4474" t="s">
        <v>4028</v>
      </c>
      <c r="B4474" s="1">
        <v>1518715</v>
      </c>
      <c r="C4474" s="1">
        <v>6022</v>
      </c>
      <c r="D4474" s="2">
        <v>42440</v>
      </c>
      <c r="E4474" s="1" t="s">
        <v>18</v>
      </c>
      <c r="F4474" t="str">
        <f>HYPERLINK("http://www.sec.gov/Archives/edgar/data/1518715/0001518715-16-000227-index.html")</f>
        <v>http://www.sec.gov/Archives/edgar/data/1518715/0001518715-16-000227-index.html</v>
      </c>
    </row>
    <row r="4475" spans="1:6" x14ac:dyDescent="0.2">
      <c r="A4475" t="s">
        <v>4029</v>
      </c>
      <c r="B4475" s="1">
        <v>1519061</v>
      </c>
      <c r="C4475" s="1">
        <v>2821</v>
      </c>
      <c r="D4475" s="2">
        <v>42440</v>
      </c>
      <c r="E4475" s="1" t="s">
        <v>18</v>
      </c>
      <c r="F4475" t="str">
        <f>HYPERLINK("http://www.sec.gov/Archives/edgar/data/1519061/0001558370-16-004029-index.html")</f>
        <v>http://www.sec.gov/Archives/edgar/data/1519061/0001558370-16-004029-index.html</v>
      </c>
    </row>
    <row r="4476" spans="1:6" x14ac:dyDescent="0.2">
      <c r="A4476" t="s">
        <v>4030</v>
      </c>
      <c r="B4476" s="1">
        <v>1520048</v>
      </c>
      <c r="C4476" s="1">
        <v>1311</v>
      </c>
      <c r="D4476" s="2">
        <v>42440</v>
      </c>
      <c r="E4476" s="1" t="s">
        <v>18</v>
      </c>
      <c r="F4476" t="str">
        <f>HYPERLINK("http://www.sec.gov/Archives/edgar/data/1520048/0001104659-16-104291-index.html")</f>
        <v>http://www.sec.gov/Archives/edgar/data/1520048/0001104659-16-104291-index.html</v>
      </c>
    </row>
    <row r="4477" spans="1:6" x14ac:dyDescent="0.2">
      <c r="A4477" t="s">
        <v>4031</v>
      </c>
      <c r="B4477" s="1">
        <v>1521951</v>
      </c>
      <c r="C4477" s="1">
        <v>6022</v>
      </c>
      <c r="D4477" s="2">
        <v>42440</v>
      </c>
      <c r="E4477" s="1" t="s">
        <v>18</v>
      </c>
      <c r="F4477" t="str">
        <f>HYPERLINK("http://www.sec.gov/Archives/edgar/data/1521951/0001521951-16-000090-index.html")</f>
        <v>http://www.sec.gov/Archives/edgar/data/1521951/0001521951-16-000090-index.html</v>
      </c>
    </row>
    <row r="4478" spans="1:6" x14ac:dyDescent="0.2">
      <c r="A4478" t="s">
        <v>4032</v>
      </c>
      <c r="B4478" s="1">
        <v>1522420</v>
      </c>
      <c r="C4478" s="1">
        <v>6022</v>
      </c>
      <c r="D4478" s="2">
        <v>42440</v>
      </c>
      <c r="E4478" s="1" t="s">
        <v>18</v>
      </c>
      <c r="F4478" t="str">
        <f>HYPERLINK("http://www.sec.gov/Archives/edgar/data/1522420/0001193125-16-501611-index.html")</f>
        <v>http://www.sec.gov/Archives/edgar/data/1522420/0001193125-16-501611-index.html</v>
      </c>
    </row>
    <row r="4479" spans="1:6" x14ac:dyDescent="0.2">
      <c r="A4479" t="s">
        <v>4033</v>
      </c>
      <c r="B4479" s="1">
        <v>1528557</v>
      </c>
      <c r="C4479" s="1">
        <v>3841</v>
      </c>
      <c r="D4479" s="2">
        <v>42440</v>
      </c>
      <c r="E4479" s="1" t="s">
        <v>18</v>
      </c>
      <c r="F4479" t="str">
        <f>HYPERLINK("http://www.sec.gov/Archives/edgar/data/1528557/0001387131-16-004549-index.html")</f>
        <v>http://www.sec.gov/Archives/edgar/data/1528557/0001387131-16-004549-index.html</v>
      </c>
    </row>
    <row r="4480" spans="1:6" x14ac:dyDescent="0.2">
      <c r="A4480" t="s">
        <v>4034</v>
      </c>
      <c r="B4480" s="1">
        <v>1528749</v>
      </c>
      <c r="C4480" s="1">
        <v>4700</v>
      </c>
      <c r="D4480" s="2">
        <v>42440</v>
      </c>
      <c r="E4480" s="1" t="s">
        <v>42</v>
      </c>
      <c r="F4480" t="str">
        <f>HYPERLINK("http://www.sec.gov/Archives/edgar/data/1528749/0001528749-16-000076-index.html")</f>
        <v>http://www.sec.gov/Archives/edgar/data/1528749/0001528749-16-000076-index.html</v>
      </c>
    </row>
    <row r="4481" spans="1:6" x14ac:dyDescent="0.2">
      <c r="A4481" t="s">
        <v>4035</v>
      </c>
      <c r="B4481" s="1">
        <v>1528843</v>
      </c>
      <c r="C4481" s="1">
        <v>6035</v>
      </c>
      <c r="D4481" s="2">
        <v>42440</v>
      </c>
      <c r="E4481" s="1" t="s">
        <v>18</v>
      </c>
      <c r="F4481" t="str">
        <f>HYPERLINK("http://www.sec.gov/Archives/edgar/data/1528843/0001571049-16-012941-index.html")</f>
        <v>http://www.sec.gov/Archives/edgar/data/1528843/0001571049-16-012941-index.html</v>
      </c>
    </row>
    <row r="4482" spans="1:6" x14ac:dyDescent="0.2">
      <c r="A4482" t="s">
        <v>4036</v>
      </c>
      <c r="B4482" s="1">
        <v>1532961</v>
      </c>
      <c r="C4482" s="1">
        <v>7380</v>
      </c>
      <c r="D4482" s="2">
        <v>42440</v>
      </c>
      <c r="E4482" s="1" t="s">
        <v>18</v>
      </c>
      <c r="F4482" t="str">
        <f>HYPERLINK("http://www.sec.gov/Archives/edgar/data/1532961/0001437749-16-027486-index.html")</f>
        <v>http://www.sec.gov/Archives/edgar/data/1532961/0001437749-16-027486-index.html</v>
      </c>
    </row>
    <row r="4483" spans="1:6" x14ac:dyDescent="0.2">
      <c r="A4483" t="s">
        <v>4037</v>
      </c>
      <c r="B4483" s="1">
        <v>1535778</v>
      </c>
      <c r="C4483" s="1">
        <v>2080</v>
      </c>
      <c r="D4483" s="2">
        <v>42440</v>
      </c>
      <c r="E4483" s="1" t="s">
        <v>18</v>
      </c>
      <c r="F4483" t="str">
        <f>HYPERLINK("http://www.sec.gov/Archives/edgar/data/1535778/0001535778-16-000212-index.html")</f>
        <v>http://www.sec.gov/Archives/edgar/data/1535778/0001535778-16-000212-index.html</v>
      </c>
    </row>
    <row r="4484" spans="1:6" x14ac:dyDescent="0.2">
      <c r="A4484" t="s">
        <v>4038</v>
      </c>
      <c r="B4484" s="1">
        <v>1537058</v>
      </c>
      <c r="C4484" s="1">
        <v>1311</v>
      </c>
      <c r="D4484" s="2">
        <v>42440</v>
      </c>
      <c r="E4484" s="1" t="s">
        <v>18</v>
      </c>
      <c r="F4484" t="str">
        <f>HYPERLINK("http://www.sec.gov/Archives/edgar/data/1537058/0001537058-16-000009-index.html")</f>
        <v>http://www.sec.gov/Archives/edgar/data/1537058/0001537058-16-000009-index.html</v>
      </c>
    </row>
    <row r="4485" spans="1:6" x14ac:dyDescent="0.2">
      <c r="A4485" t="s">
        <v>4039</v>
      </c>
      <c r="B4485" s="1">
        <v>1544206</v>
      </c>
      <c r="C4485" s="1">
        <v>6199</v>
      </c>
      <c r="D4485" s="2">
        <v>42440</v>
      </c>
      <c r="E4485" s="1" t="s">
        <v>18</v>
      </c>
      <c r="F4485" t="str">
        <f>HYPERLINK("http://www.sec.gov/Archives/edgar/data/1544206/0001193125-16-501694-index.html")</f>
        <v>http://www.sec.gov/Archives/edgar/data/1544206/0001193125-16-501694-index.html</v>
      </c>
    </row>
    <row r="4486" spans="1:6" x14ac:dyDescent="0.2">
      <c r="A4486" t="s">
        <v>4040</v>
      </c>
      <c r="B4486" s="1">
        <v>1552845</v>
      </c>
      <c r="C4486" s="1">
        <v>8082</v>
      </c>
      <c r="D4486" s="2">
        <v>42440</v>
      </c>
      <c r="E4486" s="1" t="s">
        <v>18</v>
      </c>
      <c r="F4486" t="str">
        <f>HYPERLINK("http://www.sec.gov/Archives/edgar/data/1552845/0001010412-16-000218-index.html")</f>
        <v>http://www.sec.gov/Archives/edgar/data/1552845/0001010412-16-000218-index.html</v>
      </c>
    </row>
    <row r="4487" spans="1:6" x14ac:dyDescent="0.2">
      <c r="A4487" t="s">
        <v>4041</v>
      </c>
      <c r="B4487" s="1">
        <v>1561032</v>
      </c>
      <c r="C4487" s="1">
        <v>6798</v>
      </c>
      <c r="D4487" s="2">
        <v>42440</v>
      </c>
      <c r="E4487" s="1" t="s">
        <v>18</v>
      </c>
      <c r="F4487" t="str">
        <f>HYPERLINK("http://www.sec.gov/Archives/edgar/data/1561032/0001561032-16-000021-index.html")</f>
        <v>http://www.sec.gov/Archives/edgar/data/1561032/0001561032-16-000021-index.html</v>
      </c>
    </row>
    <row r="4488" spans="1:6" x14ac:dyDescent="0.2">
      <c r="A4488" t="s">
        <v>4042</v>
      </c>
      <c r="B4488" s="1">
        <v>1561528</v>
      </c>
      <c r="C4488" s="1">
        <v>6411</v>
      </c>
      <c r="D4488" s="2">
        <v>42440</v>
      </c>
      <c r="E4488" s="1" t="s">
        <v>18</v>
      </c>
      <c r="F4488" t="str">
        <f>HYPERLINK("http://www.sec.gov/Archives/edgar/data/1561528/0001193125-16-501698-index.html")</f>
        <v>http://www.sec.gov/Archives/edgar/data/1561528/0001193125-16-501698-index.html</v>
      </c>
    </row>
    <row r="4489" spans="1:6" x14ac:dyDescent="0.2">
      <c r="A4489" t="s">
        <v>4043</v>
      </c>
      <c r="B4489" s="1">
        <v>1562528</v>
      </c>
      <c r="C4489" s="1">
        <v>6798</v>
      </c>
      <c r="D4489" s="2">
        <v>42440</v>
      </c>
      <c r="E4489" s="1" t="s">
        <v>18</v>
      </c>
      <c r="F4489" t="str">
        <f>HYPERLINK("http://www.sec.gov/Archives/edgar/data/1562528/0001562528-16-000017-index.html")</f>
        <v>http://www.sec.gov/Archives/edgar/data/1562528/0001562528-16-000017-index.html</v>
      </c>
    </row>
    <row r="4490" spans="1:6" x14ac:dyDescent="0.2">
      <c r="A4490" t="s">
        <v>4044</v>
      </c>
      <c r="B4490" s="1">
        <v>1565146</v>
      </c>
      <c r="C4490" s="1">
        <v>1311</v>
      </c>
      <c r="D4490" s="2">
        <v>42440</v>
      </c>
      <c r="E4490" s="1" t="s">
        <v>18</v>
      </c>
      <c r="F4490" t="str">
        <f>HYPERLINK("http://www.sec.gov/Archives/edgar/data/1565146/0001565146-16-000031-index.html")</f>
        <v>http://www.sec.gov/Archives/edgar/data/1565146/0001565146-16-000031-index.html</v>
      </c>
    </row>
    <row r="4491" spans="1:6" x14ac:dyDescent="0.2">
      <c r="A4491" t="s">
        <v>4045</v>
      </c>
      <c r="B4491" s="1">
        <v>1575051</v>
      </c>
      <c r="C4491" s="1">
        <v>1400</v>
      </c>
      <c r="D4491" s="2">
        <v>42440</v>
      </c>
      <c r="E4491" s="1" t="s">
        <v>18</v>
      </c>
      <c r="F4491" t="str">
        <f>HYPERLINK("http://www.sec.gov/Archives/edgar/data/1575051/0001575051-16-000106-index.html")</f>
        <v>http://www.sec.gov/Archives/edgar/data/1575051/0001575051-16-000106-index.html</v>
      </c>
    </row>
    <row r="4492" spans="1:6" x14ac:dyDescent="0.2">
      <c r="A4492" t="s">
        <v>4046</v>
      </c>
      <c r="B4492" s="1">
        <v>1575360</v>
      </c>
      <c r="C4492" s="1">
        <v>5960</v>
      </c>
      <c r="D4492" s="2">
        <v>42440</v>
      </c>
      <c r="E4492" s="1" t="s">
        <v>18</v>
      </c>
      <c r="F4492" t="str">
        <f>HYPERLINK("http://www.sec.gov/Archives/edgar/data/1575360/0001558370-16-004016-index.html")</f>
        <v>http://www.sec.gov/Archives/edgar/data/1575360/0001558370-16-004016-index.html</v>
      </c>
    </row>
    <row r="4493" spans="1:6" x14ac:dyDescent="0.2">
      <c r="A4493" t="s">
        <v>4047</v>
      </c>
      <c r="B4493" s="1">
        <v>1579412</v>
      </c>
      <c r="C4493" s="1">
        <v>5311</v>
      </c>
      <c r="D4493" s="2">
        <v>42440</v>
      </c>
      <c r="E4493" s="1" t="s">
        <v>18</v>
      </c>
      <c r="F4493" t="str">
        <f>HYPERLINK("http://www.sec.gov/Archives/edgar/data/1579412/0001193125-16-501636-index.html")</f>
        <v>http://www.sec.gov/Archives/edgar/data/1579412/0001193125-16-501636-index.html</v>
      </c>
    </row>
    <row r="4494" spans="1:6" x14ac:dyDescent="0.2">
      <c r="A4494" t="s">
        <v>4048</v>
      </c>
      <c r="B4494" s="1">
        <v>1583107</v>
      </c>
      <c r="C4494" s="1">
        <v>2834</v>
      </c>
      <c r="D4494" s="2">
        <v>42440</v>
      </c>
      <c r="E4494" s="1" t="s">
        <v>18</v>
      </c>
      <c r="F4494" t="str">
        <f>HYPERLINK("http://www.sec.gov/Archives/edgar/data/1583107/0001047469-16-011039-index.html")</f>
        <v>http://www.sec.gov/Archives/edgar/data/1583107/0001047469-16-011039-index.html</v>
      </c>
    </row>
    <row r="4495" spans="1:6" x14ac:dyDescent="0.2">
      <c r="A4495" t="s">
        <v>4049</v>
      </c>
      <c r="B4495" s="1">
        <v>1583744</v>
      </c>
      <c r="C4495" s="1">
        <v>5171</v>
      </c>
      <c r="D4495" s="2">
        <v>42440</v>
      </c>
      <c r="E4495" s="1" t="s">
        <v>18</v>
      </c>
      <c r="F4495" t="str">
        <f>HYPERLINK("http://www.sec.gov/Archives/edgar/data/1583744/0001564590-16-014592-index.html")</f>
        <v>http://www.sec.gov/Archives/edgar/data/1583744/0001564590-16-014592-index.html</v>
      </c>
    </row>
    <row r="4496" spans="1:6" x14ac:dyDescent="0.2">
      <c r="A4496" t="s">
        <v>4050</v>
      </c>
      <c r="B4496" s="1">
        <v>1584423</v>
      </c>
      <c r="C4496" s="1">
        <v>7380</v>
      </c>
      <c r="D4496" s="2">
        <v>42440</v>
      </c>
      <c r="E4496" s="1" t="s">
        <v>18</v>
      </c>
      <c r="F4496" t="str">
        <f>HYPERLINK("http://www.sec.gov/Archives/edgar/data/1584423/0001193125-16-500368-index.html")</f>
        <v>http://www.sec.gov/Archives/edgar/data/1584423/0001193125-16-500368-index.html</v>
      </c>
    </row>
    <row r="4497" spans="1:6" x14ac:dyDescent="0.2">
      <c r="A4497" t="s">
        <v>4051</v>
      </c>
      <c r="B4497" s="1">
        <v>1586105</v>
      </c>
      <c r="C4497" s="1">
        <v>2834</v>
      </c>
      <c r="D4497" s="2">
        <v>42440</v>
      </c>
      <c r="E4497" s="1" t="s">
        <v>18</v>
      </c>
      <c r="F4497" t="str">
        <f>HYPERLINK("http://www.sec.gov/Archives/edgar/data/1586105/0001558370-16-004071-index.html")</f>
        <v>http://www.sec.gov/Archives/edgar/data/1586105/0001558370-16-004071-index.html</v>
      </c>
    </row>
    <row r="4498" spans="1:6" x14ac:dyDescent="0.2">
      <c r="A4498" t="s">
        <v>4052</v>
      </c>
      <c r="B4498" s="1">
        <v>1588272</v>
      </c>
      <c r="C4498" s="1">
        <v>1311</v>
      </c>
      <c r="D4498" s="2">
        <v>42440</v>
      </c>
      <c r="E4498" s="1" t="s">
        <v>18</v>
      </c>
      <c r="F4498" t="str">
        <f>HYPERLINK("http://www.sec.gov/Archives/edgar/data/1588272/0001193125-16-501505-index.html")</f>
        <v>http://www.sec.gov/Archives/edgar/data/1588272/0001193125-16-501505-index.html</v>
      </c>
    </row>
    <row r="4499" spans="1:6" x14ac:dyDescent="0.2">
      <c r="A4499" t="s">
        <v>4053</v>
      </c>
      <c r="B4499" s="1">
        <v>1589094</v>
      </c>
      <c r="C4499" s="1">
        <v>7389</v>
      </c>
      <c r="D4499" s="2">
        <v>42440</v>
      </c>
      <c r="E4499" s="1" t="s">
        <v>18</v>
      </c>
      <c r="F4499" t="str">
        <f>HYPERLINK("http://www.sec.gov/Archives/edgar/data/1589094/0001564590-16-014528-index.html")</f>
        <v>http://www.sec.gov/Archives/edgar/data/1589094/0001564590-16-014528-index.html</v>
      </c>
    </row>
    <row r="4500" spans="1:6" x14ac:dyDescent="0.2">
      <c r="A4500" t="s">
        <v>4054</v>
      </c>
      <c r="B4500" s="1">
        <v>1590714</v>
      </c>
      <c r="C4500" s="1">
        <v>2890</v>
      </c>
      <c r="D4500" s="2">
        <v>42440</v>
      </c>
      <c r="E4500" s="1" t="s">
        <v>18</v>
      </c>
      <c r="F4500" t="str">
        <f>HYPERLINK("http://www.sec.gov/Archives/edgar/data/1590714/0001590714-16-000097-index.html")</f>
        <v>http://www.sec.gov/Archives/edgar/data/1590714/0001590714-16-000097-index.html</v>
      </c>
    </row>
    <row r="4501" spans="1:6" x14ac:dyDescent="0.2">
      <c r="A4501" t="s">
        <v>4055</v>
      </c>
      <c r="B4501" s="1">
        <v>1591877</v>
      </c>
      <c r="C4501" s="1">
        <v>7310</v>
      </c>
      <c r="D4501" s="2">
        <v>42440</v>
      </c>
      <c r="E4501" s="1" t="s">
        <v>18</v>
      </c>
      <c r="F4501" t="str">
        <f>HYPERLINK("http://www.sec.gov/Archives/edgar/data/1591877/0001178913-16-004662-index.html")</f>
        <v>http://www.sec.gov/Archives/edgar/data/1591877/0001178913-16-004662-index.html</v>
      </c>
    </row>
    <row r="4502" spans="1:6" x14ac:dyDescent="0.2">
      <c r="A4502" t="s">
        <v>4056</v>
      </c>
      <c r="B4502" s="1">
        <v>1592016</v>
      </c>
      <c r="C4502" s="1">
        <v>6770</v>
      </c>
      <c r="D4502" s="2">
        <v>42440</v>
      </c>
      <c r="E4502" s="1" t="s">
        <v>18</v>
      </c>
      <c r="F4502" t="str">
        <f>HYPERLINK("http://www.sec.gov/Archives/edgar/data/1592016/0001104659-16-104347-index.html")</f>
        <v>http://www.sec.gov/Archives/edgar/data/1592016/0001104659-16-104347-index.html</v>
      </c>
    </row>
    <row r="4503" spans="1:6" x14ac:dyDescent="0.2">
      <c r="A4503" t="s">
        <v>4057</v>
      </c>
      <c r="B4503" s="1">
        <v>1594590</v>
      </c>
      <c r="C4503" s="1">
        <v>1381</v>
      </c>
      <c r="D4503" s="2">
        <v>42440</v>
      </c>
      <c r="E4503" s="1" t="s">
        <v>18</v>
      </c>
      <c r="F4503" t="str">
        <f>HYPERLINK("http://www.sec.gov/Archives/edgar/data/1594590/0001594590-16-000198-index.html")</f>
        <v>http://www.sec.gov/Archives/edgar/data/1594590/0001594590-16-000198-index.html</v>
      </c>
    </row>
    <row r="4504" spans="1:6" x14ac:dyDescent="0.2">
      <c r="A4504" t="s">
        <v>4058</v>
      </c>
      <c r="B4504" s="1">
        <v>1596062</v>
      </c>
      <c r="C4504" s="1">
        <v>7371</v>
      </c>
      <c r="D4504" s="2">
        <v>42440</v>
      </c>
      <c r="E4504" s="1" t="s">
        <v>18</v>
      </c>
      <c r="F4504" t="str">
        <f>HYPERLINK("http://www.sec.gov/Archives/edgar/data/1596062/0001424884-16-000214-index.html")</f>
        <v>http://www.sec.gov/Archives/edgar/data/1596062/0001424884-16-000214-index.html</v>
      </c>
    </row>
    <row r="4505" spans="1:6" x14ac:dyDescent="0.2">
      <c r="A4505" t="s">
        <v>4059</v>
      </c>
      <c r="B4505" s="1">
        <v>1597264</v>
      </c>
      <c r="C4505" s="1">
        <v>2834</v>
      </c>
      <c r="D4505" s="2">
        <v>42440</v>
      </c>
      <c r="E4505" s="1" t="s">
        <v>18</v>
      </c>
      <c r="F4505" t="str">
        <f>HYPERLINK("http://www.sec.gov/Archives/edgar/data/1597264/0001558370-16-004066-index.html")</f>
        <v>http://www.sec.gov/Archives/edgar/data/1597264/0001558370-16-004066-index.html</v>
      </c>
    </row>
    <row r="4506" spans="1:6" x14ac:dyDescent="0.2">
      <c r="A4506" t="s">
        <v>4060</v>
      </c>
      <c r="B4506" s="1">
        <v>1600125</v>
      </c>
      <c r="C4506" s="1">
        <v>6021</v>
      </c>
      <c r="D4506" s="2">
        <v>42440</v>
      </c>
      <c r="E4506" s="1" t="s">
        <v>18</v>
      </c>
      <c r="F4506" t="str">
        <f>HYPERLINK("http://www.sec.gov/Archives/edgar/data/1600125/0001193125-16-501536-index.html")</f>
        <v>http://www.sec.gov/Archives/edgar/data/1600125/0001193125-16-501536-index.html</v>
      </c>
    </row>
    <row r="4507" spans="1:6" x14ac:dyDescent="0.2">
      <c r="A4507" t="s">
        <v>4061</v>
      </c>
      <c r="B4507" s="1">
        <v>1602658</v>
      </c>
      <c r="C4507" s="1">
        <v>6022</v>
      </c>
      <c r="D4507" s="2">
        <v>42440</v>
      </c>
      <c r="E4507" s="1" t="s">
        <v>18</v>
      </c>
      <c r="F4507" t="str">
        <f>HYPERLINK("http://www.sec.gov/Archives/edgar/data/1602658/0001564590-16-014510-index.html")</f>
        <v>http://www.sec.gov/Archives/edgar/data/1602658/0001564590-16-014510-index.html</v>
      </c>
    </row>
    <row r="4508" spans="1:6" x14ac:dyDescent="0.2">
      <c r="A4508" t="s">
        <v>4062</v>
      </c>
      <c r="B4508" s="1">
        <v>1606366</v>
      </c>
      <c r="C4508" s="1">
        <v>5812</v>
      </c>
      <c r="D4508" s="2">
        <v>42440</v>
      </c>
      <c r="E4508" s="1" t="s">
        <v>18</v>
      </c>
      <c r="F4508" t="str">
        <f>HYPERLINK("http://www.sec.gov/Archives/edgar/data/1606366/0001564590-16-014602-index.html")</f>
        <v>http://www.sec.gov/Archives/edgar/data/1606366/0001564590-16-014602-index.html</v>
      </c>
    </row>
    <row r="4509" spans="1:6" x14ac:dyDescent="0.2">
      <c r="A4509" t="s">
        <v>4063</v>
      </c>
      <c r="B4509" s="1">
        <v>1609951</v>
      </c>
      <c r="C4509" s="1">
        <v>6021</v>
      </c>
      <c r="D4509" s="2">
        <v>42440</v>
      </c>
      <c r="E4509" s="1" t="s">
        <v>18</v>
      </c>
      <c r="F4509" t="str">
        <f>HYPERLINK("http://www.sec.gov/Archives/edgar/data/1609951/0001437749-16-027437-index.html")</f>
        <v>http://www.sec.gov/Archives/edgar/data/1609951/0001437749-16-027437-index.html</v>
      </c>
    </row>
    <row r="4510" spans="1:6" x14ac:dyDescent="0.2">
      <c r="A4510" t="s">
        <v>4064</v>
      </c>
      <c r="B4510" s="1">
        <v>1628063</v>
      </c>
      <c r="C4510" s="1">
        <v>6500</v>
      </c>
      <c r="D4510" s="2">
        <v>42440</v>
      </c>
      <c r="E4510" s="1" t="s">
        <v>18</v>
      </c>
      <c r="F4510" t="str">
        <f>HYPERLINK("http://www.sec.gov/Archives/edgar/data/1628063/0001193125-16-501519-index.html")</f>
        <v>http://www.sec.gov/Archives/edgar/data/1628063/0001193125-16-501519-index.html</v>
      </c>
    </row>
    <row r="4511" spans="1:6" x14ac:dyDescent="0.2">
      <c r="A4511" t="s">
        <v>4065</v>
      </c>
      <c r="B4511" s="1">
        <v>1630132</v>
      </c>
      <c r="C4511" s="1">
        <v>5812</v>
      </c>
      <c r="D4511" s="2">
        <v>42440</v>
      </c>
      <c r="E4511" s="1" t="s">
        <v>18</v>
      </c>
      <c r="F4511" t="str">
        <f>HYPERLINK("http://www.sec.gov/Archives/edgar/data/1630132/0001193125-16-501579-index.html")</f>
        <v>http://www.sec.gov/Archives/edgar/data/1630132/0001193125-16-501579-index.html</v>
      </c>
    </row>
    <row r="4512" spans="1:6" x14ac:dyDescent="0.2">
      <c r="A4512" t="s">
        <v>4066</v>
      </c>
      <c r="B4512" s="1">
        <v>1635984</v>
      </c>
      <c r="C4512" s="1">
        <v>6311</v>
      </c>
      <c r="D4512" s="2">
        <v>42440</v>
      </c>
      <c r="E4512" s="1" t="s">
        <v>18</v>
      </c>
      <c r="F4512" t="str">
        <f>HYPERLINK("http://www.sec.gov/Archives/edgar/data/1635984/0001635984-16-000042-index.html")</f>
        <v>http://www.sec.gov/Archives/edgar/data/1635984/0001635984-16-000042-index.html</v>
      </c>
    </row>
    <row r="4513" spans="1:6" x14ac:dyDescent="0.2">
      <c r="A4513" t="s">
        <v>4067</v>
      </c>
      <c r="B4513" s="1">
        <v>1638833</v>
      </c>
      <c r="C4513" s="1">
        <v>8062</v>
      </c>
      <c r="D4513" s="2">
        <v>42440</v>
      </c>
      <c r="E4513" s="1" t="s">
        <v>18</v>
      </c>
      <c r="F4513" t="str">
        <f>HYPERLINK("http://www.sec.gov/Archives/edgar/data/1638833/0001638833-16-000019-index.html")</f>
        <v>http://www.sec.gov/Archives/edgar/data/1638833/0001638833-16-000019-index.html</v>
      </c>
    </row>
    <row r="4514" spans="1:6" x14ac:dyDescent="0.2">
      <c r="A4514" t="s">
        <v>4068</v>
      </c>
      <c r="B4514" s="1">
        <v>1643953</v>
      </c>
      <c r="C4514" s="1">
        <v>6770</v>
      </c>
      <c r="D4514" s="2">
        <v>42440</v>
      </c>
      <c r="E4514" s="1" t="s">
        <v>18</v>
      </c>
      <c r="F4514" t="str">
        <f>HYPERLINK("http://www.sec.gov/Archives/edgar/data/1643953/0001213900-16-011527-index.html")</f>
        <v>http://www.sec.gov/Archives/edgar/data/1643953/0001213900-16-011527-index.html</v>
      </c>
    </row>
    <row r="4515" spans="1:6" x14ac:dyDescent="0.2">
      <c r="A4515" t="s">
        <v>4069</v>
      </c>
      <c r="B4515" s="1">
        <v>1644889</v>
      </c>
      <c r="C4515" s="1">
        <v>6770</v>
      </c>
      <c r="D4515" s="2">
        <v>42440</v>
      </c>
      <c r="E4515" s="1" t="s">
        <v>18</v>
      </c>
      <c r="F4515" t="str">
        <f>HYPERLINK("http://www.sec.gov/Archives/edgar/data/1644889/0001644889-16-000048-index.html")</f>
        <v>http://www.sec.gov/Archives/edgar/data/1644889/0001644889-16-000048-index.html</v>
      </c>
    </row>
    <row r="4516" spans="1:6" x14ac:dyDescent="0.2">
      <c r="A4516" t="s">
        <v>4070</v>
      </c>
      <c r="B4516" s="1">
        <v>2098</v>
      </c>
      <c r="C4516" s="1">
        <v>3420</v>
      </c>
      <c r="D4516" s="2">
        <v>42440</v>
      </c>
      <c r="E4516" s="1" t="s">
        <v>18</v>
      </c>
      <c r="F4516" t="str">
        <f>HYPERLINK("http://www.sec.gov/Archives/edgar/data/2098/0001026608-16-000091-index.html")</f>
        <v>http://www.sec.gov/Archives/edgar/data/2098/0001026608-16-000091-index.html</v>
      </c>
    </row>
    <row r="4517" spans="1:6" x14ac:dyDescent="0.2">
      <c r="A4517" t="s">
        <v>4071</v>
      </c>
      <c r="B4517" s="1">
        <v>2178</v>
      </c>
      <c r="C4517" s="1">
        <v>5172</v>
      </c>
      <c r="D4517" s="2">
        <v>42440</v>
      </c>
      <c r="E4517" s="1" t="s">
        <v>18</v>
      </c>
      <c r="F4517" t="str">
        <f>HYPERLINK("http://www.sec.gov/Archives/edgar/data/2178/0000002178-16-000064-index.html")</f>
        <v>http://www.sec.gov/Archives/edgar/data/2178/0000002178-16-000064-index.html</v>
      </c>
    </row>
    <row r="4518" spans="1:6" x14ac:dyDescent="0.2">
      <c r="A4518" t="s">
        <v>4072</v>
      </c>
      <c r="B4518" s="1">
        <v>22701</v>
      </c>
      <c r="C4518" s="1">
        <v>3661</v>
      </c>
      <c r="D4518" s="2">
        <v>42440</v>
      </c>
      <c r="E4518" s="1" t="s">
        <v>18</v>
      </c>
      <c r="F4518" t="str">
        <f>HYPERLINK("http://www.sec.gov/Archives/edgar/data/22701/0000897101-16-002004-index.html")</f>
        <v>http://www.sec.gov/Archives/edgar/data/22701/0000897101-16-002004-index.html</v>
      </c>
    </row>
    <row r="4519" spans="1:6" x14ac:dyDescent="0.2">
      <c r="A4519" t="s">
        <v>4073</v>
      </c>
      <c r="B4519" s="1">
        <v>27419</v>
      </c>
      <c r="C4519" s="1">
        <v>5331</v>
      </c>
      <c r="D4519" s="2">
        <v>42440</v>
      </c>
      <c r="E4519" s="1" t="s">
        <v>18</v>
      </c>
      <c r="F4519" t="str">
        <f>HYPERLINK("http://www.sec.gov/Archives/edgar/data/27419/0000027419-16-000043-index.html")</f>
        <v>http://www.sec.gov/Archives/edgar/data/27419/0000027419-16-000043-index.html</v>
      </c>
    </row>
    <row r="4520" spans="1:6" x14ac:dyDescent="0.2">
      <c r="A4520" t="s">
        <v>4074</v>
      </c>
      <c r="B4520" s="1">
        <v>29002</v>
      </c>
      <c r="C4520" s="1">
        <v>3674</v>
      </c>
      <c r="D4520" s="2">
        <v>42440</v>
      </c>
      <c r="E4520" s="1" t="s">
        <v>18</v>
      </c>
      <c r="F4520" t="str">
        <f>HYPERLINK("http://www.sec.gov/Archives/edgar/data/29002/0001564590-16-014609-index.html")</f>
        <v>http://www.sec.gov/Archives/edgar/data/29002/0001564590-16-014609-index.html</v>
      </c>
    </row>
    <row r="4521" spans="1:6" x14ac:dyDescent="0.2">
      <c r="A4521" t="s">
        <v>4075</v>
      </c>
      <c r="B4521" s="1">
        <v>314203</v>
      </c>
      <c r="C4521" s="1">
        <v>1040</v>
      </c>
      <c r="D4521" s="2">
        <v>42440</v>
      </c>
      <c r="E4521" s="1" t="s">
        <v>18</v>
      </c>
      <c r="F4521" t="str">
        <f>HYPERLINK("http://www.sec.gov/Archives/edgar/data/314203/0001558370-16-004026-index.html")</f>
        <v>http://www.sec.gov/Archives/edgar/data/314203/0001558370-16-004026-index.html</v>
      </c>
    </row>
    <row r="4522" spans="1:6" x14ac:dyDescent="0.2">
      <c r="A4522" t="s">
        <v>4076</v>
      </c>
      <c r="B4522" s="1">
        <v>34067</v>
      </c>
      <c r="C4522" s="1">
        <v>3390</v>
      </c>
      <c r="D4522" s="2">
        <v>42440</v>
      </c>
      <c r="E4522" s="1" t="s">
        <v>18</v>
      </c>
      <c r="F4522" t="str">
        <f>HYPERLINK("http://www.sec.gov/Archives/edgar/data/34067/0000034067-16-000072-index.html")</f>
        <v>http://www.sec.gov/Archives/edgar/data/34067/0000034067-16-000072-index.html</v>
      </c>
    </row>
    <row r="4523" spans="1:6" x14ac:dyDescent="0.2">
      <c r="A4523" t="s">
        <v>4077</v>
      </c>
      <c r="B4523" s="1">
        <v>355777</v>
      </c>
      <c r="C4523" s="1">
        <v>3669</v>
      </c>
      <c r="D4523" s="2">
        <v>42440</v>
      </c>
      <c r="E4523" s="1" t="s">
        <v>18</v>
      </c>
      <c r="F4523" t="str">
        <f>HYPERLINK("http://www.sec.gov/Archives/edgar/data/355777/0000355777-16-000067-index.html")</f>
        <v>http://www.sec.gov/Archives/edgar/data/355777/0000355777-16-000067-index.html</v>
      </c>
    </row>
    <row r="4524" spans="1:6" x14ac:dyDescent="0.2">
      <c r="A4524" t="s">
        <v>4078</v>
      </c>
      <c r="B4524" s="1">
        <v>357173</v>
      </c>
      <c r="C4524" s="1">
        <v>6022</v>
      </c>
      <c r="D4524" s="2">
        <v>42440</v>
      </c>
      <c r="E4524" s="1" t="s">
        <v>18</v>
      </c>
      <c r="F4524" t="str">
        <f>HYPERLINK("http://www.sec.gov/Archives/edgar/data/357173/0000357173-16-000077-index.html")</f>
        <v>http://www.sec.gov/Archives/edgar/data/357173/0000357173-16-000077-index.html</v>
      </c>
    </row>
    <row r="4525" spans="1:6" x14ac:dyDescent="0.2">
      <c r="A4525" t="s">
        <v>4079</v>
      </c>
      <c r="B4525" s="1">
        <v>42682</v>
      </c>
      <c r="C4525" s="1">
        <v>3561</v>
      </c>
      <c r="D4525" s="2">
        <v>42440</v>
      </c>
      <c r="E4525" s="1" t="s">
        <v>18</v>
      </c>
      <c r="F4525" t="str">
        <f>HYPERLINK("http://www.sec.gov/Archives/edgar/data/42682/0001193125-16-501412-index.html")</f>
        <v>http://www.sec.gov/Archives/edgar/data/42682/0001193125-16-501412-index.html</v>
      </c>
    </row>
    <row r="4526" spans="1:6" x14ac:dyDescent="0.2">
      <c r="A4526" t="s">
        <v>4080</v>
      </c>
      <c r="B4526" s="1">
        <v>59255</v>
      </c>
      <c r="C4526" s="1">
        <v>2810</v>
      </c>
      <c r="D4526" s="2">
        <v>42440</v>
      </c>
      <c r="E4526" s="1" t="s">
        <v>18</v>
      </c>
      <c r="F4526" t="str">
        <f>HYPERLINK("http://www.sec.gov/Archives/edgar/data/59255/0001564590-16-014582-index.html")</f>
        <v>http://www.sec.gov/Archives/edgar/data/59255/0001564590-16-014582-index.html</v>
      </c>
    </row>
    <row r="4527" spans="1:6" x14ac:dyDescent="0.2">
      <c r="A4527" t="s">
        <v>4081</v>
      </c>
      <c r="B4527" s="1">
        <v>7039</v>
      </c>
      <c r="C4527" s="1">
        <v>2911</v>
      </c>
      <c r="D4527" s="2">
        <v>42440</v>
      </c>
      <c r="E4527" s="1" t="s">
        <v>18</v>
      </c>
      <c r="F4527" t="str">
        <f>HYPERLINK("http://www.sec.gov/Archives/edgar/data/7039/0000007039-16-000034-index.html")</f>
        <v>http://www.sec.gov/Archives/edgar/data/7039/0000007039-16-000034-index.html</v>
      </c>
    </row>
    <row r="4528" spans="1:6" x14ac:dyDescent="0.2">
      <c r="A4528" t="s">
        <v>4082</v>
      </c>
      <c r="B4528" s="1">
        <v>707886</v>
      </c>
      <c r="C4528" s="1">
        <v>6036</v>
      </c>
      <c r="D4528" s="2">
        <v>42440</v>
      </c>
      <c r="E4528" s="1" t="s">
        <v>18</v>
      </c>
      <c r="F4528" t="str">
        <f>HYPERLINK("http://www.sec.gov/Archives/edgar/data/707886/0001564590-16-014531-index.html")</f>
        <v>http://www.sec.gov/Archives/edgar/data/707886/0001564590-16-014531-index.html</v>
      </c>
    </row>
    <row r="4529" spans="1:6" x14ac:dyDescent="0.2">
      <c r="A4529" t="s">
        <v>4083</v>
      </c>
      <c r="B4529" s="1">
        <v>709804</v>
      </c>
      <c r="C4529" s="1">
        <v>1389</v>
      </c>
      <c r="D4529" s="2">
        <v>42440</v>
      </c>
      <c r="E4529" s="1" t="s">
        <v>18</v>
      </c>
      <c r="F4529" t="str">
        <f>HYPERLINK("http://www.sec.gov/Archives/edgar/data/709804/0000709804-16-000032-index.html")</f>
        <v>http://www.sec.gov/Archives/edgar/data/709804/0000709804-16-000032-index.html</v>
      </c>
    </row>
    <row r="4530" spans="1:6" x14ac:dyDescent="0.2">
      <c r="A4530" t="s">
        <v>4084</v>
      </c>
      <c r="B4530" s="1">
        <v>713095</v>
      </c>
      <c r="C4530" s="1">
        <v>6021</v>
      </c>
      <c r="D4530" s="2">
        <v>42440</v>
      </c>
      <c r="E4530" s="1" t="s">
        <v>18</v>
      </c>
      <c r="F4530" t="str">
        <f>HYPERLINK("http://www.sec.gov/Archives/edgar/data/713095/0001437749-16-027462-index.html")</f>
        <v>http://www.sec.gov/Archives/edgar/data/713095/0001437749-16-027462-index.html</v>
      </c>
    </row>
    <row r="4531" spans="1:6" x14ac:dyDescent="0.2">
      <c r="A4531" t="s">
        <v>4085</v>
      </c>
      <c r="B4531" s="1">
        <v>717806</v>
      </c>
      <c r="C4531" s="1">
        <v>6022</v>
      </c>
      <c r="D4531" s="2">
        <v>42440</v>
      </c>
      <c r="E4531" s="1" t="s">
        <v>18</v>
      </c>
      <c r="F4531" t="str">
        <f>HYPERLINK("http://www.sec.gov/Archives/edgar/data/717806/0001564590-16-014527-index.html")</f>
        <v>http://www.sec.gov/Archives/edgar/data/717806/0001564590-16-014527-index.html</v>
      </c>
    </row>
    <row r="4532" spans="1:6" x14ac:dyDescent="0.2">
      <c r="A4532" t="s">
        <v>4086</v>
      </c>
      <c r="B4532" s="1">
        <v>718937</v>
      </c>
      <c r="C4532" s="1">
        <v>3851</v>
      </c>
      <c r="D4532" s="2">
        <v>42440</v>
      </c>
      <c r="E4532" s="1" t="s">
        <v>18</v>
      </c>
      <c r="F4532" t="str">
        <f>HYPERLINK("http://www.sec.gov/Archives/edgar/data/718937/0001144204-16-087343-index.html")</f>
        <v>http://www.sec.gov/Archives/edgar/data/718937/0001144204-16-087343-index.html</v>
      </c>
    </row>
    <row r="4533" spans="1:6" x14ac:dyDescent="0.2">
      <c r="A4533" t="s">
        <v>4087</v>
      </c>
      <c r="B4533" s="1">
        <v>720002</v>
      </c>
      <c r="C4533" s="1">
        <v>6022</v>
      </c>
      <c r="D4533" s="2">
        <v>42440</v>
      </c>
      <c r="E4533" s="1" t="s">
        <v>18</v>
      </c>
      <c r="F4533" t="str">
        <f>HYPERLINK("http://www.sec.gov/Archives/edgar/data/720002/0001558370-16-004058-index.html")</f>
        <v>http://www.sec.gov/Archives/edgar/data/720002/0001558370-16-004058-index.html</v>
      </c>
    </row>
    <row r="4534" spans="1:6" x14ac:dyDescent="0.2">
      <c r="A4534" t="s">
        <v>4088</v>
      </c>
      <c r="B4534" s="1">
        <v>720858</v>
      </c>
      <c r="C4534" s="1">
        <v>6361</v>
      </c>
      <c r="D4534" s="2">
        <v>42440</v>
      </c>
      <c r="E4534" s="1" t="s">
        <v>18</v>
      </c>
      <c r="F4534" t="str">
        <f>HYPERLINK("http://www.sec.gov/Archives/edgar/data/720858/0000720858-16-000027-index.html")</f>
        <v>http://www.sec.gov/Archives/edgar/data/720858/0000720858-16-000027-index.html</v>
      </c>
    </row>
    <row r="4535" spans="1:6" x14ac:dyDescent="0.2">
      <c r="A4535" t="s">
        <v>4089</v>
      </c>
      <c r="B4535" s="1">
        <v>729580</v>
      </c>
      <c r="C4535" s="1">
        <v>3677</v>
      </c>
      <c r="D4535" s="2">
        <v>42440</v>
      </c>
      <c r="E4535" s="1" t="s">
        <v>18</v>
      </c>
      <c r="F4535" t="str">
        <f>HYPERLINK("http://www.sec.gov/Archives/edgar/data/729580/0000729580-16-000036-index.html")</f>
        <v>http://www.sec.gov/Archives/edgar/data/729580/0000729580-16-000036-index.html</v>
      </c>
    </row>
    <row r="4536" spans="1:6" x14ac:dyDescent="0.2">
      <c r="A4536" t="s">
        <v>4090</v>
      </c>
      <c r="B4536" s="1">
        <v>740971</v>
      </c>
      <c r="C4536" s="1">
        <v>6021</v>
      </c>
      <c r="D4536" s="2">
        <v>42440</v>
      </c>
      <c r="E4536" s="1" t="s">
        <v>18</v>
      </c>
      <c r="F4536" t="str">
        <f>HYPERLINK("http://www.sec.gov/Archives/edgar/data/740971/0000740971-16-000082-index.html")</f>
        <v>http://www.sec.gov/Archives/edgar/data/740971/0000740971-16-000082-index.html</v>
      </c>
    </row>
    <row r="4537" spans="1:6" x14ac:dyDescent="0.2">
      <c r="A4537" t="s">
        <v>4091</v>
      </c>
      <c r="B4537" s="1">
        <v>746514</v>
      </c>
      <c r="C4537" s="1">
        <v>6513</v>
      </c>
      <c r="D4537" s="2">
        <v>42440</v>
      </c>
      <c r="E4537" s="1" t="s">
        <v>18</v>
      </c>
      <c r="F4537" t="str">
        <f>HYPERLINK("http://www.sec.gov/Archives/edgar/data/746514/0001558370-16-004053-index.html")</f>
        <v>http://www.sec.gov/Archives/edgar/data/746514/0001558370-16-004053-index.html</v>
      </c>
    </row>
    <row r="4538" spans="1:6" x14ac:dyDescent="0.2">
      <c r="A4538" t="s">
        <v>4092</v>
      </c>
      <c r="B4538" s="1">
        <v>749660</v>
      </c>
      <c r="C4538" s="1">
        <v>3841</v>
      </c>
      <c r="D4538" s="2">
        <v>42440</v>
      </c>
      <c r="E4538" s="1" t="s">
        <v>18</v>
      </c>
      <c r="F4538" t="str">
        <f>HYPERLINK("http://www.sec.gov/Archives/edgar/data/749660/0001193125-16-501542-index.html")</f>
        <v>http://www.sec.gov/Archives/edgar/data/749660/0001193125-16-501542-index.html</v>
      </c>
    </row>
    <row r="4539" spans="1:6" x14ac:dyDescent="0.2">
      <c r="A4539" t="s">
        <v>4093</v>
      </c>
      <c r="B4539" s="1">
        <v>750686</v>
      </c>
      <c r="C4539" s="1">
        <v>6021</v>
      </c>
      <c r="D4539" s="2">
        <v>42440</v>
      </c>
      <c r="E4539" s="1" t="s">
        <v>18</v>
      </c>
      <c r="F4539" t="str">
        <f>HYPERLINK("http://www.sec.gov/Archives/edgar/data/750686/0000750686-16-000254-index.html")</f>
        <v>http://www.sec.gov/Archives/edgar/data/750686/0000750686-16-000254-index.html</v>
      </c>
    </row>
    <row r="4540" spans="1:6" x14ac:dyDescent="0.2">
      <c r="A4540" t="s">
        <v>4094</v>
      </c>
      <c r="B4540" s="1">
        <v>760498</v>
      </c>
      <c r="C4540" s="1">
        <v>6021</v>
      </c>
      <c r="D4540" s="2">
        <v>42440</v>
      </c>
      <c r="E4540" s="1" t="s">
        <v>18</v>
      </c>
      <c r="F4540" t="str">
        <f>HYPERLINK("http://www.sec.gov/Archives/edgar/data/760498/0001564590-16-014556-index.html")</f>
        <v>http://www.sec.gov/Archives/edgar/data/760498/0001564590-16-014556-index.html</v>
      </c>
    </row>
    <row r="4541" spans="1:6" x14ac:dyDescent="0.2">
      <c r="A4541" t="s">
        <v>4095</v>
      </c>
      <c r="B4541" s="1">
        <v>763563</v>
      </c>
      <c r="C4541" s="1">
        <v>6022</v>
      </c>
      <c r="D4541" s="2">
        <v>42440</v>
      </c>
      <c r="E4541" s="1" t="s">
        <v>18</v>
      </c>
      <c r="F4541" t="str">
        <f>HYPERLINK("http://www.sec.gov/Archives/edgar/data/763563/0000763563-16-000156-index.html")</f>
        <v>http://www.sec.gov/Archives/edgar/data/763563/0000763563-16-000156-index.html</v>
      </c>
    </row>
    <row r="4542" spans="1:6" x14ac:dyDescent="0.2">
      <c r="A4542" t="s">
        <v>4096</v>
      </c>
      <c r="B4542" s="1">
        <v>764811</v>
      </c>
      <c r="C4542" s="1">
        <v>6021</v>
      </c>
      <c r="D4542" s="2">
        <v>42440</v>
      </c>
      <c r="E4542" s="1" t="s">
        <v>18</v>
      </c>
      <c r="F4542" t="str">
        <f>HYPERLINK("http://www.sec.gov/Archives/edgar/data/764811/0000764811-16-000093-index.html")</f>
        <v>http://www.sec.gov/Archives/edgar/data/764811/0000764811-16-000093-index.html</v>
      </c>
    </row>
    <row r="4543" spans="1:6" x14ac:dyDescent="0.2">
      <c r="A4543" t="s">
        <v>4097</v>
      </c>
      <c r="B4543" s="1">
        <v>765207</v>
      </c>
      <c r="C4543" s="1">
        <v>6021</v>
      </c>
      <c r="D4543" s="2">
        <v>42440</v>
      </c>
      <c r="E4543" s="1" t="s">
        <v>18</v>
      </c>
      <c r="F4543" t="str">
        <f>HYPERLINK("http://www.sec.gov/Archives/edgar/data/765207/0000765207-16-000060-index.html")</f>
        <v>http://www.sec.gov/Archives/edgar/data/765207/0000765207-16-000060-index.html</v>
      </c>
    </row>
    <row r="4544" spans="1:6" x14ac:dyDescent="0.2">
      <c r="A4544" t="s">
        <v>4098</v>
      </c>
      <c r="B4544" s="1">
        <v>767405</v>
      </c>
      <c r="C4544" s="1">
        <v>6022</v>
      </c>
      <c r="D4544" s="2">
        <v>42440</v>
      </c>
      <c r="E4544" s="1" t="s">
        <v>18</v>
      </c>
      <c r="F4544" t="str">
        <f>HYPERLINK("http://www.sec.gov/Archives/edgar/data/767405/0001213900-16-011513-index.html")</f>
        <v>http://www.sec.gov/Archives/edgar/data/767405/0001213900-16-011513-index.html</v>
      </c>
    </row>
    <row r="4545" spans="1:6" x14ac:dyDescent="0.2">
      <c r="A4545" t="s">
        <v>4099</v>
      </c>
      <c r="B4545" s="1">
        <v>788965</v>
      </c>
      <c r="C4545" s="1">
        <v>1220</v>
      </c>
      <c r="D4545" s="2">
        <v>42440</v>
      </c>
      <c r="E4545" s="1" t="s">
        <v>18</v>
      </c>
      <c r="F4545" t="str">
        <f>HYPERLINK("http://www.sec.gov/Archives/edgar/data/788965/0001144204-16-087556-index.html")</f>
        <v>http://www.sec.gov/Archives/edgar/data/788965/0001144204-16-087556-index.html</v>
      </c>
    </row>
    <row r="4546" spans="1:6" x14ac:dyDescent="0.2">
      <c r="A4546" t="s">
        <v>4100</v>
      </c>
      <c r="B4546" s="1">
        <v>790070</v>
      </c>
      <c r="C4546" s="1">
        <v>3572</v>
      </c>
      <c r="D4546" s="2">
        <v>42440</v>
      </c>
      <c r="E4546" s="1" t="s">
        <v>42</v>
      </c>
      <c r="F4546" t="str">
        <f>HYPERLINK("http://www.sec.gov/Archives/edgar/data/790070/0000790070-16-000232-index.html")</f>
        <v>http://www.sec.gov/Archives/edgar/data/790070/0000790070-16-000232-index.html</v>
      </c>
    </row>
    <row r="4547" spans="1:6" x14ac:dyDescent="0.2">
      <c r="A4547" t="s">
        <v>4101</v>
      </c>
      <c r="B4547" s="1">
        <v>799167</v>
      </c>
      <c r="C4547" s="1">
        <v>4213</v>
      </c>
      <c r="D4547" s="2">
        <v>42440</v>
      </c>
      <c r="E4547" s="1" t="s">
        <v>18</v>
      </c>
      <c r="F4547" t="str">
        <f>HYPERLINK("http://www.sec.gov/Archives/edgar/data/799167/0001437749-16-027411-index.html")</f>
        <v>http://www.sec.gov/Archives/edgar/data/799167/0001437749-16-027411-index.html</v>
      </c>
    </row>
    <row r="4548" spans="1:6" x14ac:dyDescent="0.2">
      <c r="A4548" t="s">
        <v>4102</v>
      </c>
      <c r="B4548" s="1">
        <v>799698</v>
      </c>
      <c r="C4548" s="1">
        <v>2836</v>
      </c>
      <c r="D4548" s="2">
        <v>42440</v>
      </c>
      <c r="E4548" s="1" t="s">
        <v>18</v>
      </c>
      <c r="F4548" t="str">
        <f>HYPERLINK("http://www.sec.gov/Archives/edgar/data/799698/0000799698-16-000030-index.html")</f>
        <v>http://www.sec.gov/Archives/edgar/data/799698/0000799698-16-000030-index.html</v>
      </c>
    </row>
    <row r="4549" spans="1:6" x14ac:dyDescent="0.2">
      <c r="A4549" t="s">
        <v>4103</v>
      </c>
      <c r="B4549" s="1">
        <v>80035</v>
      </c>
      <c r="C4549" s="1">
        <v>1623</v>
      </c>
      <c r="D4549" s="2">
        <v>42440</v>
      </c>
      <c r="E4549" s="1" t="s">
        <v>18</v>
      </c>
      <c r="F4549" t="str">
        <f>HYPERLINK("http://www.sec.gov/Archives/edgar/data/80035/0001193125-16-501390-index.html")</f>
        <v>http://www.sec.gov/Archives/edgar/data/80035/0001193125-16-501390-index.html</v>
      </c>
    </row>
    <row r="4550" spans="1:6" x14ac:dyDescent="0.2">
      <c r="A4550" t="s">
        <v>4104</v>
      </c>
      <c r="B4550" s="1">
        <v>802681</v>
      </c>
      <c r="C4550" s="1">
        <v>6022</v>
      </c>
      <c r="D4550" s="2">
        <v>42440</v>
      </c>
      <c r="E4550" s="1" t="s">
        <v>18</v>
      </c>
      <c r="F4550" t="str">
        <f>HYPERLINK("http://www.sec.gov/Archives/edgar/data/802681/0001437749-16-027476-index.html")</f>
        <v>http://www.sec.gov/Archives/edgar/data/802681/0001437749-16-027476-index.html</v>
      </c>
    </row>
    <row r="4551" spans="1:6" x14ac:dyDescent="0.2">
      <c r="A4551" t="s">
        <v>4105</v>
      </c>
      <c r="B4551" s="1">
        <v>811240</v>
      </c>
      <c r="C4551" s="1">
        <v>3843</v>
      </c>
      <c r="D4551" s="2">
        <v>42440</v>
      </c>
      <c r="E4551" s="1" t="s">
        <v>18</v>
      </c>
      <c r="F4551" t="str">
        <f>HYPERLINK("http://www.sec.gov/Archives/edgar/data/811240/0001564590-16-014571-index.html")</f>
        <v>http://www.sec.gov/Archives/edgar/data/811240/0001564590-16-014571-index.html</v>
      </c>
    </row>
    <row r="4552" spans="1:6" x14ac:dyDescent="0.2">
      <c r="A4552" t="s">
        <v>4106</v>
      </c>
      <c r="B4552" s="1">
        <v>815917</v>
      </c>
      <c r="C4552" s="1">
        <v>6211</v>
      </c>
      <c r="D4552" s="2">
        <v>42440</v>
      </c>
      <c r="E4552" s="1" t="s">
        <v>18</v>
      </c>
      <c r="F4552" t="str">
        <f>HYPERLINK("http://www.sec.gov/Archives/edgar/data/815917/0001564590-16-014523-index.html")</f>
        <v>http://www.sec.gov/Archives/edgar/data/815917/0001564590-16-014523-index.html</v>
      </c>
    </row>
    <row r="4553" spans="1:6" x14ac:dyDescent="0.2">
      <c r="A4553" t="s">
        <v>4107</v>
      </c>
      <c r="B4553" s="1">
        <v>820380</v>
      </c>
      <c r="C4553" s="1">
        <v>7372</v>
      </c>
      <c r="D4553" s="2">
        <v>42440</v>
      </c>
      <c r="E4553" s="1" t="s">
        <v>18</v>
      </c>
      <c r="F4553" t="str">
        <f>HYPERLINK("http://www.sec.gov/Archives/edgar/data/820380/0001551163-16-000317-index.html")</f>
        <v>http://www.sec.gov/Archives/edgar/data/820380/0001551163-16-000317-index.html</v>
      </c>
    </row>
    <row r="4554" spans="1:6" x14ac:dyDescent="0.2">
      <c r="A4554" t="s">
        <v>4108</v>
      </c>
      <c r="B4554" s="1">
        <v>822662</v>
      </c>
      <c r="C4554" s="1">
        <v>6022</v>
      </c>
      <c r="D4554" s="2">
        <v>42440</v>
      </c>
      <c r="E4554" s="1" t="s">
        <v>18</v>
      </c>
      <c r="F4554" t="str">
        <f>HYPERLINK("http://www.sec.gov/Archives/edgar/data/822662/0000822662-16-000067-index.html")</f>
        <v>http://www.sec.gov/Archives/edgar/data/822662/0000822662-16-000067-index.html</v>
      </c>
    </row>
    <row r="4555" spans="1:6" x14ac:dyDescent="0.2">
      <c r="A4555" t="s">
        <v>4109</v>
      </c>
      <c r="B4555" s="1">
        <v>826154</v>
      </c>
      <c r="C4555" s="1">
        <v>6022</v>
      </c>
      <c r="D4555" s="2">
        <v>42440</v>
      </c>
      <c r="E4555" s="1" t="s">
        <v>18</v>
      </c>
      <c r="F4555" t="str">
        <f>HYPERLINK("http://www.sec.gov/Archives/edgar/data/826154/0000826154-16-000115-index.html")</f>
        <v>http://www.sec.gov/Archives/edgar/data/826154/0000826154-16-000115-index.html</v>
      </c>
    </row>
    <row r="4556" spans="1:6" x14ac:dyDescent="0.2">
      <c r="A4556" t="s">
        <v>4110</v>
      </c>
      <c r="B4556" s="1">
        <v>830748</v>
      </c>
      <c r="C4556" s="1">
        <v>6798</v>
      </c>
      <c r="D4556" s="2">
        <v>42440</v>
      </c>
      <c r="E4556" s="1" t="s">
        <v>18</v>
      </c>
      <c r="F4556" t="str">
        <f>HYPERLINK("http://www.sec.gov/Archives/edgar/data/830748/0000830748-16-000021-index.html")</f>
        <v>http://www.sec.gov/Archives/edgar/data/830748/0000830748-16-000021-index.html</v>
      </c>
    </row>
    <row r="4557" spans="1:6" x14ac:dyDescent="0.2">
      <c r="A4557" t="s">
        <v>4111</v>
      </c>
      <c r="B4557" s="1">
        <v>83402</v>
      </c>
      <c r="C4557" s="1">
        <v>6799</v>
      </c>
      <c r="D4557" s="2">
        <v>42440</v>
      </c>
      <c r="E4557" s="1" t="s">
        <v>18</v>
      </c>
      <c r="F4557" t="str">
        <f>HYPERLINK("http://www.sec.gov/Archives/edgar/data/83402/0000083402-16-000046-index.html")</f>
        <v>http://www.sec.gov/Archives/edgar/data/83402/0000083402-16-000046-index.html</v>
      </c>
    </row>
    <row r="4558" spans="1:6" x14ac:dyDescent="0.2">
      <c r="A4558" t="s">
        <v>4112</v>
      </c>
      <c r="B4558" s="1">
        <v>835887</v>
      </c>
      <c r="C4558" s="1">
        <v>2834</v>
      </c>
      <c r="D4558" s="2">
        <v>42440</v>
      </c>
      <c r="E4558" s="1" t="s">
        <v>18</v>
      </c>
      <c r="F4558" t="str">
        <f>HYPERLINK("http://www.sec.gov/Archives/edgar/data/835887/0000835887-16-000131-index.html")</f>
        <v>http://www.sec.gov/Archives/edgar/data/835887/0000835887-16-000131-index.html</v>
      </c>
    </row>
    <row r="4559" spans="1:6" x14ac:dyDescent="0.2">
      <c r="A4559" t="s">
        <v>4113</v>
      </c>
      <c r="B4559" s="1">
        <v>862022</v>
      </c>
      <c r="C4559" s="1">
        <v>6792</v>
      </c>
      <c r="D4559" s="2">
        <v>42440</v>
      </c>
      <c r="E4559" s="1" t="s">
        <v>18</v>
      </c>
      <c r="F4559" t="str">
        <f>HYPERLINK("http://www.sec.gov/Archives/edgar/data/862022/0001193125-16-501209-index.html")</f>
        <v>http://www.sec.gov/Archives/edgar/data/862022/0001193125-16-501209-index.html</v>
      </c>
    </row>
    <row r="4560" spans="1:6" x14ac:dyDescent="0.2">
      <c r="A4560" t="s">
        <v>4114</v>
      </c>
      <c r="B4560" s="1">
        <v>863110</v>
      </c>
      <c r="C4560" s="1">
        <v>4941</v>
      </c>
      <c r="D4560" s="2">
        <v>42440</v>
      </c>
      <c r="E4560" s="1" t="s">
        <v>18</v>
      </c>
      <c r="F4560" t="str">
        <f>HYPERLINK("http://www.sec.gov/Archives/edgar/data/863110/0000863110-16-000040-index.html")</f>
        <v>http://www.sec.gov/Archives/edgar/data/863110/0000863110-16-000040-index.html</v>
      </c>
    </row>
    <row r="4561" spans="1:6" x14ac:dyDescent="0.2">
      <c r="A4561" t="s">
        <v>4115</v>
      </c>
      <c r="B4561" s="1">
        <v>87050</v>
      </c>
      <c r="C4561" s="1">
        <v>3679</v>
      </c>
      <c r="D4561" s="2">
        <v>42440</v>
      </c>
      <c r="E4561" s="1" t="s">
        <v>18</v>
      </c>
      <c r="F4561" t="str">
        <f>HYPERLINK("http://www.sec.gov/Archives/edgar/data/87050/0001213900-16-011504-index.html")</f>
        <v>http://www.sec.gov/Archives/edgar/data/87050/0001213900-16-011504-index.html</v>
      </c>
    </row>
    <row r="4562" spans="1:6" x14ac:dyDescent="0.2">
      <c r="A4562" t="s">
        <v>4116</v>
      </c>
      <c r="B4562" s="1">
        <v>880771</v>
      </c>
      <c r="C4562" s="1">
        <v>2834</v>
      </c>
      <c r="D4562" s="2">
        <v>42440</v>
      </c>
      <c r="E4562" s="1" t="s">
        <v>18</v>
      </c>
      <c r="F4562" t="str">
        <f>HYPERLINK("http://www.sec.gov/Archives/edgar/data/880771/0000880771-16-000135-index.html")</f>
        <v>http://www.sec.gov/Archives/edgar/data/880771/0000880771-16-000135-index.html</v>
      </c>
    </row>
    <row r="4563" spans="1:6" x14ac:dyDescent="0.2">
      <c r="A4563" t="s">
        <v>4117</v>
      </c>
      <c r="B4563" s="1">
        <v>881787</v>
      </c>
      <c r="C4563" s="1">
        <v>6792</v>
      </c>
      <c r="D4563" s="2">
        <v>42440</v>
      </c>
      <c r="E4563" s="1" t="s">
        <v>18</v>
      </c>
      <c r="F4563" t="str">
        <f>HYPERLINK("http://www.sec.gov/Archives/edgar/data/881787/0001193125-16-501214-index.html")</f>
        <v>http://www.sec.gov/Archives/edgar/data/881787/0001193125-16-501214-index.html</v>
      </c>
    </row>
    <row r="4564" spans="1:6" x14ac:dyDescent="0.2">
      <c r="A4564" t="s">
        <v>4118</v>
      </c>
      <c r="B4564" s="1">
        <v>884219</v>
      </c>
      <c r="C4564" s="1">
        <v>7389</v>
      </c>
      <c r="D4564" s="2">
        <v>42440</v>
      </c>
      <c r="E4564" s="1" t="s">
        <v>18</v>
      </c>
      <c r="F4564" t="str">
        <f>HYPERLINK("http://www.sec.gov/Archives/edgar/data/884219/0001564590-16-014544-index.html")</f>
        <v>http://www.sec.gov/Archives/edgar/data/884219/0001564590-16-014544-index.html</v>
      </c>
    </row>
    <row r="4565" spans="1:6" x14ac:dyDescent="0.2">
      <c r="A4565" t="s">
        <v>3370</v>
      </c>
      <c r="B4565" s="1">
        <v>885322</v>
      </c>
      <c r="C4565" s="1">
        <v>6036</v>
      </c>
      <c r="D4565" s="2">
        <v>42440</v>
      </c>
      <c r="E4565" s="1" t="s">
        <v>18</v>
      </c>
      <c r="F4565" t="str">
        <f>HYPERLINK("http://www.sec.gov/Archives/edgar/data/885322/0001628280-16-012619-index.html")</f>
        <v>http://www.sec.gov/Archives/edgar/data/885322/0001628280-16-012619-index.html</v>
      </c>
    </row>
    <row r="4566" spans="1:6" x14ac:dyDescent="0.2">
      <c r="A4566" t="s">
        <v>4119</v>
      </c>
      <c r="B4566" s="1">
        <v>88790</v>
      </c>
      <c r="C4566" s="1">
        <v>3670</v>
      </c>
      <c r="D4566" s="2">
        <v>42440</v>
      </c>
      <c r="E4566" s="1" t="s">
        <v>18</v>
      </c>
      <c r="F4566" t="str">
        <f>HYPERLINK("http://www.sec.gov/Archives/edgar/data/88790/0000897101-16-001998-index.html")</f>
        <v>http://www.sec.gov/Archives/edgar/data/88790/0000897101-16-001998-index.html</v>
      </c>
    </row>
    <row r="4567" spans="1:6" x14ac:dyDescent="0.2">
      <c r="A4567" t="s">
        <v>4120</v>
      </c>
      <c r="B4567" s="1">
        <v>906465</v>
      </c>
      <c r="C4567" s="1">
        <v>6022</v>
      </c>
      <c r="D4567" s="2">
        <v>42440</v>
      </c>
      <c r="E4567" s="1" t="s">
        <v>18</v>
      </c>
      <c r="F4567" t="str">
        <f>HYPERLINK("http://www.sec.gov/Archives/edgar/data/906465/0001437749-16-027490-index.html")</f>
        <v>http://www.sec.gov/Archives/edgar/data/906465/0001437749-16-027490-index.html</v>
      </c>
    </row>
    <row r="4568" spans="1:6" x14ac:dyDescent="0.2">
      <c r="A4568" t="s">
        <v>4121</v>
      </c>
      <c r="B4568" s="1">
        <v>907242</v>
      </c>
      <c r="C4568" s="1">
        <v>7011</v>
      </c>
      <c r="D4568" s="2">
        <v>42440</v>
      </c>
      <c r="E4568" s="1" t="s">
        <v>18</v>
      </c>
      <c r="F4568" t="str">
        <f>HYPERLINK("http://www.sec.gov/Archives/edgar/data/907242/0001104659-16-104448-index.html")</f>
        <v>http://www.sec.gov/Archives/edgar/data/907242/0001104659-16-104448-index.html</v>
      </c>
    </row>
    <row r="4569" spans="1:6" x14ac:dyDescent="0.2">
      <c r="A4569" t="s">
        <v>4122</v>
      </c>
      <c r="B4569" s="1">
        <v>911147</v>
      </c>
      <c r="C4569" s="1">
        <v>7011</v>
      </c>
      <c r="D4569" s="2">
        <v>42440</v>
      </c>
      <c r="E4569" s="1" t="s">
        <v>18</v>
      </c>
      <c r="F4569" t="str">
        <f>HYPERLINK("http://www.sec.gov/Archives/edgar/data/911147/0000911147-16-000101-index.html")</f>
        <v>http://www.sec.gov/Archives/edgar/data/911147/0000911147-16-000101-index.html</v>
      </c>
    </row>
    <row r="4570" spans="1:6" x14ac:dyDescent="0.2">
      <c r="A4570" t="s">
        <v>4123</v>
      </c>
      <c r="B4570" s="1">
        <v>914156</v>
      </c>
      <c r="C4570" s="1">
        <v>3086</v>
      </c>
      <c r="D4570" s="2">
        <v>42440</v>
      </c>
      <c r="E4570" s="1" t="s">
        <v>18</v>
      </c>
      <c r="F4570" t="str">
        <f>HYPERLINK("http://www.sec.gov/Archives/edgar/data/914156/0001104659-16-104377-index.html")</f>
        <v>http://www.sec.gov/Archives/edgar/data/914156/0001104659-16-104377-index.html</v>
      </c>
    </row>
    <row r="4571" spans="1:6" x14ac:dyDescent="0.2">
      <c r="A4571" t="s">
        <v>4124</v>
      </c>
      <c r="B4571" s="1">
        <v>917251</v>
      </c>
      <c r="C4571" s="1">
        <v>6798</v>
      </c>
      <c r="D4571" s="2">
        <v>42440</v>
      </c>
      <c r="E4571" s="1" t="s">
        <v>18</v>
      </c>
      <c r="F4571" t="str">
        <f>HYPERLINK("http://www.sec.gov/Archives/edgar/data/917251/0001144204-16-087541-index.html")</f>
        <v>http://www.sec.gov/Archives/edgar/data/917251/0001144204-16-087541-index.html</v>
      </c>
    </row>
    <row r="4572" spans="1:6" x14ac:dyDescent="0.2">
      <c r="A4572" t="s">
        <v>4125</v>
      </c>
      <c r="B4572" s="1">
        <v>920112</v>
      </c>
      <c r="C4572" s="1">
        <v>6022</v>
      </c>
      <c r="D4572" s="2">
        <v>42440</v>
      </c>
      <c r="E4572" s="1" t="s">
        <v>18</v>
      </c>
      <c r="F4572" t="str">
        <f>HYPERLINK("http://www.sec.gov/Archives/edgar/data/920112/0000920112-16-000312-index.html")</f>
        <v>http://www.sec.gov/Archives/edgar/data/920112/0000920112-16-000312-index.html</v>
      </c>
    </row>
    <row r="4573" spans="1:6" x14ac:dyDescent="0.2">
      <c r="A4573" t="s">
        <v>4126</v>
      </c>
      <c r="B4573" s="1">
        <v>921183</v>
      </c>
      <c r="C4573" s="1">
        <v>6035</v>
      </c>
      <c r="D4573" s="2">
        <v>42440</v>
      </c>
      <c r="E4573" s="1" t="s">
        <v>18</v>
      </c>
      <c r="F4573" t="str">
        <f>HYPERLINK("http://www.sec.gov/Archives/edgar/data/921183/0001437749-16-027433-index.html")</f>
        <v>http://www.sec.gov/Archives/edgar/data/921183/0001437749-16-027433-index.html</v>
      </c>
    </row>
    <row r="4574" spans="1:6" x14ac:dyDescent="0.2">
      <c r="A4574" t="s">
        <v>4127</v>
      </c>
      <c r="B4574" s="1">
        <v>921557</v>
      </c>
      <c r="C4574" s="1">
        <v>6022</v>
      </c>
      <c r="D4574" s="2">
        <v>42440</v>
      </c>
      <c r="E4574" s="1" t="s">
        <v>18</v>
      </c>
      <c r="F4574" t="str">
        <f>HYPERLINK("http://www.sec.gov/Archives/edgar/data/921557/0001558370-16-004033-index.html")</f>
        <v>http://www.sec.gov/Archives/edgar/data/921557/0001558370-16-004033-index.html</v>
      </c>
    </row>
    <row r="4575" spans="1:6" x14ac:dyDescent="0.2">
      <c r="A4575" t="s">
        <v>4128</v>
      </c>
      <c r="B4575" s="1">
        <v>925528</v>
      </c>
      <c r="C4575" s="1">
        <v>5080</v>
      </c>
      <c r="D4575" s="2">
        <v>42440</v>
      </c>
      <c r="E4575" s="1" t="s">
        <v>18</v>
      </c>
      <c r="F4575" t="str">
        <f>HYPERLINK("http://www.sec.gov/Archives/edgar/data/925528/0001144204-16-087439-index.html")</f>
        <v>http://www.sec.gov/Archives/edgar/data/925528/0001144204-16-087439-index.html</v>
      </c>
    </row>
    <row r="4576" spans="1:6" x14ac:dyDescent="0.2">
      <c r="A4576" t="s">
        <v>4129</v>
      </c>
      <c r="B4576" s="1">
        <v>928421</v>
      </c>
      <c r="C4576" s="1">
        <v>3559</v>
      </c>
      <c r="D4576" s="2">
        <v>42440</v>
      </c>
      <c r="E4576" s="1" t="s">
        <v>18</v>
      </c>
      <c r="F4576" t="str">
        <f>HYPERLINK("http://www.sec.gov/Archives/edgar/data/928421/0001628280-16-012629-index.html")</f>
        <v>http://www.sec.gov/Archives/edgar/data/928421/0001628280-16-012629-index.html</v>
      </c>
    </row>
    <row r="4577" spans="1:6" x14ac:dyDescent="0.2">
      <c r="A4577" t="s">
        <v>4130</v>
      </c>
      <c r="B4577" s="1">
        <v>933136</v>
      </c>
      <c r="C4577" s="1">
        <v>6199</v>
      </c>
      <c r="D4577" s="2">
        <v>42440</v>
      </c>
      <c r="E4577" s="1" t="s">
        <v>18</v>
      </c>
      <c r="F4577" t="str">
        <f>HYPERLINK("http://www.sec.gov/Archives/edgar/data/933136/0001564590-16-014568-index.html")</f>
        <v>http://www.sec.gov/Archives/edgar/data/933136/0001564590-16-014568-index.html</v>
      </c>
    </row>
    <row r="4578" spans="1:6" x14ac:dyDescent="0.2">
      <c r="A4578" t="s">
        <v>4131</v>
      </c>
      <c r="B4578" s="1">
        <v>93314</v>
      </c>
      <c r="C4578" s="1">
        <v>2835</v>
      </c>
      <c r="D4578" s="2">
        <v>42440</v>
      </c>
      <c r="E4578" s="1" t="s">
        <v>18</v>
      </c>
      <c r="F4578" t="str">
        <f>HYPERLINK("http://www.sec.gov/Archives/edgar/data/93314/0001078782-16-002414-index.html")</f>
        <v>http://www.sec.gov/Archives/edgar/data/93314/0001078782-16-002414-index.html</v>
      </c>
    </row>
    <row r="4579" spans="1:6" x14ac:dyDescent="0.2">
      <c r="A4579" t="s">
        <v>4132</v>
      </c>
      <c r="B4579" s="1">
        <v>95552</v>
      </c>
      <c r="C4579" s="1">
        <v>3714</v>
      </c>
      <c r="D4579" s="2">
        <v>42440</v>
      </c>
      <c r="E4579" s="1" t="s">
        <v>18</v>
      </c>
      <c r="F4579" t="str">
        <f>HYPERLINK("http://www.sec.gov/Archives/edgar/data/95552/0000095552-16-000033-index.html")</f>
        <v>http://www.sec.gov/Archives/edgar/data/95552/0000095552-16-000033-index.html</v>
      </c>
    </row>
    <row r="4580" spans="1:6" x14ac:dyDescent="0.2">
      <c r="A4580" t="s">
        <v>4062</v>
      </c>
      <c r="B4580" s="1">
        <v>1606366</v>
      </c>
      <c r="C4580" s="1">
        <v>5812</v>
      </c>
      <c r="D4580" s="2">
        <v>42440</v>
      </c>
      <c r="E4580" s="1" t="s">
        <v>18</v>
      </c>
      <c r="F4580" t="str">
        <f>HYPERLINK("http://www.sec.gov/Archives/edgar/data/1606366/0001564590-16-014602-index.html")</f>
        <v>http://www.sec.gov/Archives/edgar/data/1606366/0001564590-16-014602-index.html</v>
      </c>
    </row>
    <row r="4581" spans="1:6" x14ac:dyDescent="0.2">
      <c r="A4581" t="s">
        <v>4133</v>
      </c>
      <c r="B4581" s="1">
        <v>1023364</v>
      </c>
      <c r="C4581" s="1">
        <v>7370</v>
      </c>
      <c r="D4581" s="2">
        <v>42439</v>
      </c>
      <c r="E4581" s="1" t="s">
        <v>18</v>
      </c>
      <c r="F4581" t="str">
        <f>HYPERLINK("http://www.sec.gov/Archives/edgar/data/1023364/0001415889-16-005012-index.html")</f>
        <v>http://www.sec.gov/Archives/edgar/data/1023364/0001415889-16-005012-index.html</v>
      </c>
    </row>
    <row r="4582" spans="1:6" x14ac:dyDescent="0.2">
      <c r="A4582" t="s">
        <v>4134</v>
      </c>
      <c r="B4582" s="1">
        <v>1024126</v>
      </c>
      <c r="C4582" s="1">
        <v>2834</v>
      </c>
      <c r="D4582" s="2">
        <v>42439</v>
      </c>
      <c r="E4582" s="1" t="s">
        <v>18</v>
      </c>
      <c r="F4582" t="str">
        <f>HYPERLINK("http://www.sec.gov/Archives/edgar/data/1024126/0001136261-16-000419-index.html")</f>
        <v>http://www.sec.gov/Archives/edgar/data/1024126/0001136261-16-000419-index.html</v>
      </c>
    </row>
    <row r="4583" spans="1:6" x14ac:dyDescent="0.2">
      <c r="A4583" t="s">
        <v>4135</v>
      </c>
      <c r="B4583" s="1">
        <v>1031623</v>
      </c>
      <c r="C4583" s="1">
        <v>3440</v>
      </c>
      <c r="D4583" s="2">
        <v>42439</v>
      </c>
      <c r="E4583" s="1" t="s">
        <v>18</v>
      </c>
      <c r="F4583" t="str">
        <f>HYPERLINK("http://www.sec.gov/Archives/edgar/data/1031623/0001031623-16-000018-index.html")</f>
        <v>http://www.sec.gov/Archives/edgar/data/1031623/0001031623-16-000018-index.html</v>
      </c>
    </row>
    <row r="4584" spans="1:6" x14ac:dyDescent="0.2">
      <c r="A4584" t="s">
        <v>4136</v>
      </c>
      <c r="B4584" s="1">
        <v>1038509</v>
      </c>
      <c r="C4584" s="1">
        <v>6311</v>
      </c>
      <c r="D4584" s="2">
        <v>42439</v>
      </c>
      <c r="E4584" s="1" t="s">
        <v>18</v>
      </c>
      <c r="F4584" t="str">
        <f>HYPERLINK("http://www.sec.gov/Archives/edgar/data/1038509/0001038509-16-000017-index.html")</f>
        <v>http://www.sec.gov/Archives/edgar/data/1038509/0001038509-16-000017-index.html</v>
      </c>
    </row>
    <row r="4585" spans="1:6" x14ac:dyDescent="0.2">
      <c r="A4585" t="s">
        <v>1595</v>
      </c>
      <c r="B4585" s="1">
        <v>1044378</v>
      </c>
      <c r="C4585" s="1">
        <v>8071</v>
      </c>
      <c r="D4585" s="2">
        <v>42439</v>
      </c>
      <c r="E4585" s="1" t="s">
        <v>18</v>
      </c>
      <c r="F4585" t="str">
        <f>HYPERLINK("http://www.sec.gov/Archives/edgar/data/1044378/0001564590-16-014436-index.html")</f>
        <v>http://www.sec.gov/Archives/edgar/data/1044378/0001564590-16-014436-index.html</v>
      </c>
    </row>
    <row r="4586" spans="1:6" x14ac:dyDescent="0.2">
      <c r="A4586" t="s">
        <v>4137</v>
      </c>
      <c r="B4586" s="1">
        <v>1046025</v>
      </c>
      <c r="C4586" s="1">
        <v>6036</v>
      </c>
      <c r="D4586" s="2">
        <v>42439</v>
      </c>
      <c r="E4586" s="1" t="s">
        <v>18</v>
      </c>
      <c r="F4586" t="str">
        <f>HYPERLINK("http://www.sec.gov/Archives/edgar/data/1046025/0001046025-16-000163-index.html")</f>
        <v>http://www.sec.gov/Archives/edgar/data/1046025/0001046025-16-000163-index.html</v>
      </c>
    </row>
    <row r="4587" spans="1:6" x14ac:dyDescent="0.2">
      <c r="A4587" t="s">
        <v>4138</v>
      </c>
      <c r="B4587" s="1">
        <v>1052752</v>
      </c>
      <c r="C4587" s="1">
        <v>6500</v>
      </c>
      <c r="D4587" s="2">
        <v>42439</v>
      </c>
      <c r="E4587" s="1" t="s">
        <v>18</v>
      </c>
      <c r="F4587" t="str">
        <f>HYPERLINK("http://www.sec.gov/Archives/edgar/data/1052752/0001193125-16-500301-index.html")</f>
        <v>http://www.sec.gov/Archives/edgar/data/1052752/0001193125-16-500301-index.html</v>
      </c>
    </row>
    <row r="4588" spans="1:6" x14ac:dyDescent="0.2">
      <c r="A4588" t="s">
        <v>4139</v>
      </c>
      <c r="B4588" s="1">
        <v>1058623</v>
      </c>
      <c r="C4588" s="1">
        <v>4832</v>
      </c>
      <c r="D4588" s="2">
        <v>42439</v>
      </c>
      <c r="E4588" s="1" t="s">
        <v>18</v>
      </c>
      <c r="F4588" t="str">
        <f>HYPERLINK("http://www.sec.gov/Archives/edgar/data/1058623/0001058623-16-000053-index.html")</f>
        <v>http://www.sec.gov/Archives/edgar/data/1058623/0001058623-16-000053-index.html</v>
      </c>
    </row>
    <row r="4589" spans="1:6" x14ac:dyDescent="0.2">
      <c r="A4589" t="s">
        <v>4140</v>
      </c>
      <c r="B4589" s="1">
        <v>106532</v>
      </c>
      <c r="C4589" s="1">
        <v>5130</v>
      </c>
      <c r="D4589" s="2">
        <v>42439</v>
      </c>
      <c r="E4589" s="1" t="s">
        <v>18</v>
      </c>
      <c r="F4589" t="str">
        <f>HYPERLINK("http://www.sec.gov/Archives/edgar/data/106532/0001144204-16-087188-index.html")</f>
        <v>http://www.sec.gov/Archives/edgar/data/106532/0001144204-16-087188-index.html</v>
      </c>
    </row>
    <row r="4590" spans="1:6" x14ac:dyDescent="0.2">
      <c r="A4590" t="s">
        <v>4141</v>
      </c>
      <c r="B4590" s="1">
        <v>1066605</v>
      </c>
      <c r="C4590" s="1">
        <v>7361</v>
      </c>
      <c r="D4590" s="2">
        <v>42439</v>
      </c>
      <c r="E4590" s="1" t="s">
        <v>18</v>
      </c>
      <c r="F4590" t="str">
        <f>HYPERLINK("http://www.sec.gov/Archives/edgar/data/1066605/0001628280-16-012581-index.html")</f>
        <v>http://www.sec.gov/Archives/edgar/data/1066605/0001628280-16-012581-index.html</v>
      </c>
    </row>
    <row r="4591" spans="1:6" x14ac:dyDescent="0.2">
      <c r="A4591" t="s">
        <v>4142</v>
      </c>
      <c r="B4591" s="1">
        <v>1072627</v>
      </c>
      <c r="C4591" s="1">
        <v>6331</v>
      </c>
      <c r="D4591" s="2">
        <v>42439</v>
      </c>
      <c r="E4591" s="1" t="s">
        <v>18</v>
      </c>
      <c r="F4591" t="str">
        <f>HYPERLINK("http://www.sec.gov/Archives/edgar/data/1072627/0001072627-16-000118-index.html")</f>
        <v>http://www.sec.gov/Archives/edgar/data/1072627/0001072627-16-000118-index.html</v>
      </c>
    </row>
    <row r="4592" spans="1:6" x14ac:dyDescent="0.2">
      <c r="A4592" t="s">
        <v>4143</v>
      </c>
      <c r="B4592" s="1">
        <v>1088856</v>
      </c>
      <c r="C4592" s="1">
        <v>2834</v>
      </c>
      <c r="D4592" s="2">
        <v>42439</v>
      </c>
      <c r="E4592" s="1" t="s">
        <v>18</v>
      </c>
      <c r="F4592" t="str">
        <f>HYPERLINK("http://www.sec.gov/Archives/edgar/data/1088856/0001088856-16-000011-index.html")</f>
        <v>http://www.sec.gov/Archives/edgar/data/1088856/0001088856-16-000011-index.html</v>
      </c>
    </row>
    <row r="4593" spans="1:6" x14ac:dyDescent="0.2">
      <c r="A4593" t="s">
        <v>4144</v>
      </c>
      <c r="B4593" s="1">
        <v>1103021</v>
      </c>
      <c r="C4593" s="1">
        <v>2834</v>
      </c>
      <c r="D4593" s="2">
        <v>42439</v>
      </c>
      <c r="E4593" s="1" t="s">
        <v>18</v>
      </c>
      <c r="F4593" t="str">
        <f>HYPERLINK("http://www.sec.gov/Archives/edgar/data/1103021/0001193125-16-500290-index.html")</f>
        <v>http://www.sec.gov/Archives/edgar/data/1103021/0001193125-16-500290-index.html</v>
      </c>
    </row>
    <row r="4594" spans="1:6" x14ac:dyDescent="0.2">
      <c r="A4594" t="s">
        <v>4145</v>
      </c>
      <c r="B4594" s="1">
        <v>1114927</v>
      </c>
      <c r="C4594" s="1">
        <v>6035</v>
      </c>
      <c r="D4594" s="2">
        <v>42439</v>
      </c>
      <c r="E4594" s="1" t="s">
        <v>18</v>
      </c>
      <c r="F4594" t="str">
        <f>HYPERLINK("http://www.sec.gov/Archives/edgar/data/1114927/0001140361-16-057302-index.html")</f>
        <v>http://www.sec.gov/Archives/edgar/data/1114927/0001140361-16-057302-index.html</v>
      </c>
    </row>
    <row r="4595" spans="1:6" x14ac:dyDescent="0.2">
      <c r="A4595" t="s">
        <v>4146</v>
      </c>
      <c r="B4595" s="1">
        <v>1158895</v>
      </c>
      <c r="C4595" s="1">
        <v>3841</v>
      </c>
      <c r="D4595" s="2">
        <v>42439</v>
      </c>
      <c r="E4595" s="1" t="s">
        <v>18</v>
      </c>
      <c r="F4595" t="str">
        <f>HYPERLINK("http://www.sec.gov/Archives/edgar/data/1158895/0001193125-16-499592-index.html")</f>
        <v>http://www.sec.gov/Archives/edgar/data/1158895/0001193125-16-499592-index.html</v>
      </c>
    </row>
    <row r="4596" spans="1:6" x14ac:dyDescent="0.2">
      <c r="A4596" t="s">
        <v>4147</v>
      </c>
      <c r="B4596" s="1">
        <v>1172136</v>
      </c>
      <c r="C4596" s="1">
        <v>4911</v>
      </c>
      <c r="D4596" s="2">
        <v>42439</v>
      </c>
      <c r="E4596" s="1" t="s">
        <v>18</v>
      </c>
      <c r="F4596" t="str">
        <f>HYPERLINK("http://www.sec.gov/Archives/edgar/data/1172136/0001062993-16-008266-index.html")</f>
        <v>http://www.sec.gov/Archives/edgar/data/1172136/0001062993-16-008266-index.html</v>
      </c>
    </row>
    <row r="4597" spans="1:6" x14ac:dyDescent="0.2">
      <c r="A4597" t="s">
        <v>4148</v>
      </c>
      <c r="B4597" s="1">
        <v>1175483</v>
      </c>
      <c r="C4597" s="1">
        <v>6798</v>
      </c>
      <c r="D4597" s="2">
        <v>42439</v>
      </c>
      <c r="E4597" s="1" t="s">
        <v>18</v>
      </c>
      <c r="F4597" t="str">
        <f>HYPERLINK("http://www.sec.gov/Archives/edgar/data/1175483/0001175483-16-000010-index.html")</f>
        <v>http://www.sec.gov/Archives/edgar/data/1175483/0001175483-16-000010-index.html</v>
      </c>
    </row>
    <row r="4598" spans="1:6" x14ac:dyDescent="0.2">
      <c r="A4598" t="s">
        <v>4149</v>
      </c>
      <c r="B4598" s="1">
        <v>1183765</v>
      </c>
      <c r="C4598" s="1">
        <v>2834</v>
      </c>
      <c r="D4598" s="2">
        <v>42439</v>
      </c>
      <c r="E4598" s="1" t="s">
        <v>18</v>
      </c>
      <c r="F4598" t="str">
        <f>HYPERLINK("http://www.sec.gov/Archives/edgar/data/1183765/0001564590-16-014457-index.html")</f>
        <v>http://www.sec.gov/Archives/edgar/data/1183765/0001564590-16-014457-index.html</v>
      </c>
    </row>
    <row r="4599" spans="1:6" x14ac:dyDescent="0.2">
      <c r="A4599" t="s">
        <v>4150</v>
      </c>
      <c r="B4599" s="1">
        <v>1213037</v>
      </c>
      <c r="C4599" s="1">
        <v>2836</v>
      </c>
      <c r="D4599" s="2">
        <v>42439</v>
      </c>
      <c r="E4599" s="1" t="s">
        <v>18</v>
      </c>
      <c r="F4599" t="str">
        <f>HYPERLINK("http://www.sec.gov/Archives/edgar/data/1213037/0001628280-16-012562-index.html")</f>
        <v>http://www.sec.gov/Archives/edgar/data/1213037/0001628280-16-012562-index.html</v>
      </c>
    </row>
    <row r="4600" spans="1:6" x14ac:dyDescent="0.2">
      <c r="A4600" t="s">
        <v>4151</v>
      </c>
      <c r="B4600" s="1">
        <v>1244937</v>
      </c>
      <c r="C4600" s="1">
        <v>7370</v>
      </c>
      <c r="D4600" s="2">
        <v>42439</v>
      </c>
      <c r="E4600" s="1" t="s">
        <v>18</v>
      </c>
      <c r="F4600" t="str">
        <f>HYPERLINK("http://www.sec.gov/Archives/edgar/data/1244937/0001244937-16-000017-index.html")</f>
        <v>http://www.sec.gov/Archives/edgar/data/1244937/0001244937-16-000017-index.html</v>
      </c>
    </row>
    <row r="4601" spans="1:6" x14ac:dyDescent="0.2">
      <c r="A4601" t="s">
        <v>4152</v>
      </c>
      <c r="B4601" s="1">
        <v>1257640</v>
      </c>
      <c r="C4601" s="1">
        <v>2810</v>
      </c>
      <c r="D4601" s="2">
        <v>42439</v>
      </c>
      <c r="E4601" s="1" t="s">
        <v>18</v>
      </c>
      <c r="F4601" t="str">
        <f>HYPERLINK("http://www.sec.gov/Archives/edgar/data/1257640/0001564590-16-014416-index.html")</f>
        <v>http://www.sec.gov/Archives/edgar/data/1257640/0001564590-16-014416-index.html</v>
      </c>
    </row>
    <row r="4602" spans="1:6" x14ac:dyDescent="0.2">
      <c r="A4602" t="s">
        <v>4153</v>
      </c>
      <c r="B4602" s="1">
        <v>1259429</v>
      </c>
      <c r="C4602" s="1">
        <v>2810</v>
      </c>
      <c r="D4602" s="2">
        <v>42439</v>
      </c>
      <c r="E4602" s="1" t="s">
        <v>18</v>
      </c>
      <c r="F4602" t="str">
        <f>HYPERLINK("http://www.sec.gov/Archives/edgar/data/1259429/0001144204-16-087233-index.html")</f>
        <v>http://www.sec.gov/Archives/edgar/data/1259429/0001144204-16-087233-index.html</v>
      </c>
    </row>
    <row r="4603" spans="1:6" x14ac:dyDescent="0.2">
      <c r="A4603" t="s">
        <v>4154</v>
      </c>
      <c r="B4603" s="1">
        <v>1286613</v>
      </c>
      <c r="C4603" s="1">
        <v>8200</v>
      </c>
      <c r="D4603" s="2">
        <v>42439</v>
      </c>
      <c r="E4603" s="1" t="s">
        <v>18</v>
      </c>
      <c r="F4603" t="str">
        <f>HYPERLINK("http://www.sec.gov/Archives/edgar/data/1286613/0001140361-16-057345-index.html")</f>
        <v>http://www.sec.gov/Archives/edgar/data/1286613/0001140361-16-057345-index.html</v>
      </c>
    </row>
    <row r="4604" spans="1:6" x14ac:dyDescent="0.2">
      <c r="A4604" t="s">
        <v>4155</v>
      </c>
      <c r="B4604" s="1">
        <v>1301106</v>
      </c>
      <c r="C4604" s="1">
        <v>6331</v>
      </c>
      <c r="D4604" s="2">
        <v>42439</v>
      </c>
      <c r="E4604" s="1" t="s">
        <v>18</v>
      </c>
      <c r="F4604" t="str">
        <f>HYPERLINK("http://www.sec.gov/Archives/edgar/data/1301106/0001301106-16-000140-index.html")</f>
        <v>http://www.sec.gov/Archives/edgar/data/1301106/0001301106-16-000140-index.html</v>
      </c>
    </row>
    <row r="4605" spans="1:6" x14ac:dyDescent="0.2">
      <c r="A4605" t="s">
        <v>4156</v>
      </c>
      <c r="B4605" s="1">
        <v>1302028</v>
      </c>
      <c r="C4605" s="1">
        <v>3559</v>
      </c>
      <c r="D4605" s="2">
        <v>42439</v>
      </c>
      <c r="E4605" s="1" t="s">
        <v>18</v>
      </c>
      <c r="F4605" t="str">
        <f>HYPERLINK("http://www.sec.gov/Archives/edgar/data/1302028/0001564590-16-014447-index.html")</f>
        <v>http://www.sec.gov/Archives/edgar/data/1302028/0001564590-16-014447-index.html</v>
      </c>
    </row>
    <row r="4606" spans="1:6" x14ac:dyDescent="0.2">
      <c r="A4606" t="s">
        <v>4157</v>
      </c>
      <c r="B4606" s="1">
        <v>1302573</v>
      </c>
      <c r="C4606" s="1">
        <v>2834</v>
      </c>
      <c r="D4606" s="2">
        <v>42439</v>
      </c>
      <c r="E4606" s="1" t="s">
        <v>18</v>
      </c>
      <c r="F4606" t="str">
        <f>HYPERLINK("http://www.sec.gov/Archives/edgar/data/1302573/0001564590-16-014426-index.html")</f>
        <v>http://www.sec.gov/Archives/edgar/data/1302573/0001564590-16-014426-index.html</v>
      </c>
    </row>
    <row r="4607" spans="1:6" x14ac:dyDescent="0.2">
      <c r="A4607" t="s">
        <v>4158</v>
      </c>
      <c r="B4607" s="1">
        <v>1314152</v>
      </c>
      <c r="C4607" s="1">
        <v>6798</v>
      </c>
      <c r="D4607" s="2">
        <v>42439</v>
      </c>
      <c r="E4607" s="1" t="s">
        <v>18</v>
      </c>
      <c r="F4607" t="str">
        <f>HYPERLINK("http://www.sec.gov/Archives/edgar/data/1314152/0001314152-16-000156-index.html")</f>
        <v>http://www.sec.gov/Archives/edgar/data/1314152/0001314152-16-000156-index.html</v>
      </c>
    </row>
    <row r="4608" spans="1:6" x14ac:dyDescent="0.2">
      <c r="A4608" t="s">
        <v>4159</v>
      </c>
      <c r="B4608" s="1">
        <v>1319229</v>
      </c>
      <c r="C4608" s="1">
        <v>4610</v>
      </c>
      <c r="D4608" s="2">
        <v>42439</v>
      </c>
      <c r="E4608" s="1" t="s">
        <v>18</v>
      </c>
      <c r="F4608" t="str">
        <f>HYPERLINK("http://www.sec.gov/Archives/edgar/data/1319229/0001558370-16-003961-index.html")</f>
        <v>http://www.sec.gov/Archives/edgar/data/1319229/0001558370-16-003961-index.html</v>
      </c>
    </row>
    <row r="4609" spans="1:6" x14ac:dyDescent="0.2">
      <c r="A4609" t="s">
        <v>4160</v>
      </c>
      <c r="B4609" s="1">
        <v>1325618</v>
      </c>
      <c r="C4609" s="1">
        <v>3841</v>
      </c>
      <c r="D4609" s="2">
        <v>42439</v>
      </c>
      <c r="E4609" s="1" t="s">
        <v>18</v>
      </c>
      <c r="F4609" t="str">
        <f>HYPERLINK("http://www.sec.gov/Archives/edgar/data/1325618/0001104659-16-104068-index.html")</f>
        <v>http://www.sec.gov/Archives/edgar/data/1325618/0001104659-16-104068-index.html</v>
      </c>
    </row>
    <row r="4610" spans="1:6" x14ac:dyDescent="0.2">
      <c r="A4610" t="s">
        <v>4161</v>
      </c>
      <c r="B4610" s="1">
        <v>1325878</v>
      </c>
      <c r="C4610" s="1">
        <v>6111</v>
      </c>
      <c r="D4610" s="2">
        <v>42439</v>
      </c>
      <c r="E4610" s="1" t="s">
        <v>18</v>
      </c>
      <c r="F4610" t="str">
        <f>HYPERLINK("http://www.sec.gov/Archives/edgar/data/1325878/0001325878-16-000036-index.html")</f>
        <v>http://www.sec.gov/Archives/edgar/data/1325878/0001325878-16-000036-index.html</v>
      </c>
    </row>
    <row r="4611" spans="1:6" x14ac:dyDescent="0.2">
      <c r="A4611" t="s">
        <v>4162</v>
      </c>
      <c r="B4611" s="1">
        <v>1327318</v>
      </c>
      <c r="C4611" s="1">
        <v>7370</v>
      </c>
      <c r="D4611" s="2">
        <v>42439</v>
      </c>
      <c r="E4611" s="1" t="s">
        <v>18</v>
      </c>
      <c r="F4611" t="str">
        <f>HYPERLINK("http://www.sec.gov/Archives/edgar/data/1327318/0001327318-16-000026-index.html")</f>
        <v>http://www.sec.gov/Archives/edgar/data/1327318/0001327318-16-000026-index.html</v>
      </c>
    </row>
    <row r="4612" spans="1:6" x14ac:dyDescent="0.2">
      <c r="A4612" t="s">
        <v>4163</v>
      </c>
      <c r="B4612" s="1">
        <v>1330399</v>
      </c>
      <c r="C4612" s="1">
        <v>6111</v>
      </c>
      <c r="D4612" s="2">
        <v>42439</v>
      </c>
      <c r="E4612" s="1" t="s">
        <v>18</v>
      </c>
      <c r="F4612" t="str">
        <f>HYPERLINK("http://www.sec.gov/Archives/edgar/data/1330399/0001330399-16-000019-index.html")</f>
        <v>http://www.sec.gov/Archives/edgar/data/1330399/0001330399-16-000019-index.html</v>
      </c>
    </row>
    <row r="4613" spans="1:6" x14ac:dyDescent="0.2">
      <c r="A4613" t="s">
        <v>4164</v>
      </c>
      <c r="B4613" s="1">
        <v>1331465</v>
      </c>
      <c r="C4613" s="1">
        <v>6111</v>
      </c>
      <c r="D4613" s="2">
        <v>42439</v>
      </c>
      <c r="E4613" s="1" t="s">
        <v>18</v>
      </c>
      <c r="F4613" t="str">
        <f>HYPERLINK("http://www.sec.gov/Archives/edgar/data/1331465/0001331465-16-000264-index.html")</f>
        <v>http://www.sec.gov/Archives/edgar/data/1331465/0001331465-16-000264-index.html</v>
      </c>
    </row>
    <row r="4614" spans="1:6" x14ac:dyDescent="0.2">
      <c r="A4614" t="s">
        <v>4165</v>
      </c>
      <c r="B4614" s="1">
        <v>1332551</v>
      </c>
      <c r="C4614" s="1">
        <v>6798</v>
      </c>
      <c r="D4614" s="2">
        <v>42439</v>
      </c>
      <c r="E4614" s="1" t="s">
        <v>18</v>
      </c>
      <c r="F4614" t="str">
        <f>HYPERLINK("http://www.sec.gov/Archives/edgar/data/1332551/0001332551-16-000052-index.html")</f>
        <v>http://www.sec.gov/Archives/edgar/data/1332551/0001332551-16-000052-index.html</v>
      </c>
    </row>
    <row r="4615" spans="1:6" x14ac:dyDescent="0.2">
      <c r="A4615" t="s">
        <v>4166</v>
      </c>
      <c r="B4615" s="1">
        <v>1337298</v>
      </c>
      <c r="C4615" s="1">
        <v>2860</v>
      </c>
      <c r="D4615" s="2">
        <v>42439</v>
      </c>
      <c r="E4615" s="1" t="s">
        <v>18</v>
      </c>
      <c r="F4615" t="str">
        <f>HYPERLINK("http://www.sec.gov/Archives/edgar/data/1337298/0001437749-16-027311-index.html")</f>
        <v>http://www.sec.gov/Archives/edgar/data/1337298/0001437749-16-027311-index.html</v>
      </c>
    </row>
    <row r="4616" spans="1:6" x14ac:dyDescent="0.2">
      <c r="A4616" t="s">
        <v>4167</v>
      </c>
      <c r="B4616" s="1">
        <v>1349929</v>
      </c>
      <c r="C4616" s="1">
        <v>8071</v>
      </c>
      <c r="D4616" s="2">
        <v>42439</v>
      </c>
      <c r="E4616" s="1" t="s">
        <v>18</v>
      </c>
      <c r="F4616" t="str">
        <f>HYPERLINK("http://www.sec.gov/Archives/edgar/data/1349929/0001349929-16-000062-index.html")</f>
        <v>http://www.sec.gov/Archives/edgar/data/1349929/0001349929-16-000062-index.html</v>
      </c>
    </row>
    <row r="4617" spans="1:6" x14ac:dyDescent="0.2">
      <c r="A4617" t="s">
        <v>4168</v>
      </c>
      <c r="B4617" s="1">
        <v>1350381</v>
      </c>
      <c r="C4617" s="1">
        <v>2790</v>
      </c>
      <c r="D4617" s="2">
        <v>42439</v>
      </c>
      <c r="E4617" s="1" t="s">
        <v>42</v>
      </c>
      <c r="F4617" t="str">
        <f>HYPERLINK("http://www.sec.gov/Archives/edgar/data/1350381/0001144204-16-087285-index.html")</f>
        <v>http://www.sec.gov/Archives/edgar/data/1350381/0001144204-16-087285-index.html</v>
      </c>
    </row>
    <row r="4618" spans="1:6" x14ac:dyDescent="0.2">
      <c r="A4618" t="s">
        <v>4168</v>
      </c>
      <c r="B4618" s="1">
        <v>1350381</v>
      </c>
      <c r="C4618" s="1">
        <v>2790</v>
      </c>
      <c r="D4618" s="2">
        <v>42439</v>
      </c>
      <c r="E4618" s="1" t="s">
        <v>18</v>
      </c>
      <c r="F4618" t="str">
        <f>HYPERLINK("http://www.sec.gov/Archives/edgar/data/1350381/0001628280-16-012584-index.html")</f>
        <v>http://www.sec.gov/Archives/edgar/data/1350381/0001628280-16-012584-index.html</v>
      </c>
    </row>
    <row r="4619" spans="1:6" x14ac:dyDescent="0.2">
      <c r="A4619" t="s">
        <v>4169</v>
      </c>
      <c r="B4619" s="1">
        <v>1361394</v>
      </c>
      <c r="C4619" s="1">
        <v>7389</v>
      </c>
      <c r="D4619" s="2">
        <v>42439</v>
      </c>
      <c r="E4619" s="1" t="s">
        <v>18</v>
      </c>
      <c r="F4619" t="str">
        <f>HYPERLINK("http://www.sec.gov/Archives/edgar/data/1361394/0001564590-16-014383-index.html")</f>
        <v>http://www.sec.gov/Archives/edgar/data/1361394/0001564590-16-014383-index.html</v>
      </c>
    </row>
    <row r="4620" spans="1:6" x14ac:dyDescent="0.2">
      <c r="A4620" t="s">
        <v>4170</v>
      </c>
      <c r="B4620" s="1">
        <v>1361983</v>
      </c>
      <c r="C4620" s="1">
        <v>4899</v>
      </c>
      <c r="D4620" s="2">
        <v>42439</v>
      </c>
      <c r="E4620" s="1" t="s">
        <v>18</v>
      </c>
      <c r="F4620" t="str">
        <f>HYPERLINK("http://www.sec.gov/Archives/edgar/data/1361983/0001564590-16-014335-index.html")</f>
        <v>http://www.sec.gov/Archives/edgar/data/1361983/0001564590-16-014335-index.html</v>
      </c>
    </row>
    <row r="4621" spans="1:6" x14ac:dyDescent="0.2">
      <c r="A4621" t="s">
        <v>4171</v>
      </c>
      <c r="B4621" s="1">
        <v>1371489</v>
      </c>
      <c r="C4621" s="1">
        <v>8742</v>
      </c>
      <c r="D4621" s="2">
        <v>42439</v>
      </c>
      <c r="E4621" s="1" t="s">
        <v>18</v>
      </c>
      <c r="F4621" t="str">
        <f>HYPERLINK("http://www.sec.gov/Archives/edgar/data/1371489/0001558370-16-003969-index.html")</f>
        <v>http://www.sec.gov/Archives/edgar/data/1371489/0001558370-16-003969-index.html</v>
      </c>
    </row>
    <row r="4622" spans="1:6" x14ac:dyDescent="0.2">
      <c r="A4622" t="s">
        <v>4172</v>
      </c>
      <c r="B4622" s="1">
        <v>1372299</v>
      </c>
      <c r="C4622" s="1">
        <v>3842</v>
      </c>
      <c r="D4622" s="2">
        <v>42439</v>
      </c>
      <c r="E4622" s="1" t="s">
        <v>18</v>
      </c>
      <c r="F4622" t="str">
        <f>HYPERLINK("http://www.sec.gov/Archives/edgar/data/1372299/0001193125-16-500103-index.html")</f>
        <v>http://www.sec.gov/Archives/edgar/data/1372299/0001193125-16-500103-index.html</v>
      </c>
    </row>
    <row r="4623" spans="1:6" x14ac:dyDescent="0.2">
      <c r="A4623" t="s">
        <v>1659</v>
      </c>
      <c r="B4623" s="1">
        <v>1390478</v>
      </c>
      <c r="C4623" s="1">
        <v>2834</v>
      </c>
      <c r="D4623" s="2">
        <v>42439</v>
      </c>
      <c r="E4623" s="1" t="s">
        <v>18</v>
      </c>
      <c r="F4623" t="str">
        <f>HYPERLINK("http://www.sec.gov/Archives/edgar/data/1390478/0001390478-16-000088-index.html")</f>
        <v>http://www.sec.gov/Archives/edgar/data/1390478/0001390478-16-000088-index.html</v>
      </c>
    </row>
    <row r="4624" spans="1:6" x14ac:dyDescent="0.2">
      <c r="A4624" t="s">
        <v>4173</v>
      </c>
      <c r="B4624" s="1">
        <v>1393434</v>
      </c>
      <c r="C4624" s="1">
        <v>2834</v>
      </c>
      <c r="D4624" s="2">
        <v>42439</v>
      </c>
      <c r="E4624" s="1" t="s">
        <v>18</v>
      </c>
      <c r="F4624" t="str">
        <f>HYPERLINK("http://www.sec.gov/Archives/edgar/data/1393434/0001193125-16-499184-index.html")</f>
        <v>http://www.sec.gov/Archives/edgar/data/1393434/0001193125-16-499184-index.html</v>
      </c>
    </row>
    <row r="4625" spans="1:6" x14ac:dyDescent="0.2">
      <c r="A4625" t="s">
        <v>4174</v>
      </c>
      <c r="B4625" s="1">
        <v>1399529</v>
      </c>
      <c r="C4625" s="1">
        <v>2834</v>
      </c>
      <c r="D4625" s="2">
        <v>42439</v>
      </c>
      <c r="E4625" s="1" t="s">
        <v>18</v>
      </c>
      <c r="F4625" t="str">
        <f>HYPERLINK("http://www.sec.gov/Archives/edgar/data/1399529/0001193125-16-500111-index.html")</f>
        <v>http://www.sec.gov/Archives/edgar/data/1399529/0001193125-16-500111-index.html</v>
      </c>
    </row>
    <row r="4626" spans="1:6" x14ac:dyDescent="0.2">
      <c r="A4626" t="s">
        <v>4175</v>
      </c>
      <c r="B4626" s="1">
        <v>1401564</v>
      </c>
      <c r="C4626" s="1">
        <v>6036</v>
      </c>
      <c r="D4626" s="2">
        <v>42439</v>
      </c>
      <c r="E4626" s="1" t="s">
        <v>18</v>
      </c>
      <c r="F4626" t="str">
        <f>HYPERLINK("http://www.sec.gov/Archives/edgar/data/1401564/0000939057-16-000703-index.html")</f>
        <v>http://www.sec.gov/Archives/edgar/data/1401564/0000939057-16-000703-index.html</v>
      </c>
    </row>
    <row r="4627" spans="1:6" x14ac:dyDescent="0.2">
      <c r="A4627" t="s">
        <v>4176</v>
      </c>
      <c r="B4627" s="1">
        <v>1401914</v>
      </c>
      <c r="C4627" s="1">
        <v>2834</v>
      </c>
      <c r="D4627" s="2">
        <v>42439</v>
      </c>
      <c r="E4627" s="1" t="s">
        <v>18</v>
      </c>
      <c r="F4627" t="str">
        <f>HYPERLINK("http://www.sec.gov/Archives/edgar/data/1401914/0001564590-16-014403-index.html")</f>
        <v>http://www.sec.gov/Archives/edgar/data/1401914/0001564590-16-014403-index.html</v>
      </c>
    </row>
    <row r="4628" spans="1:6" x14ac:dyDescent="0.2">
      <c r="A4628" t="s">
        <v>4177</v>
      </c>
      <c r="B4628" s="1">
        <v>1403708</v>
      </c>
      <c r="C4628" s="1">
        <v>2834</v>
      </c>
      <c r="D4628" s="2">
        <v>42439</v>
      </c>
      <c r="E4628" s="1" t="s">
        <v>18</v>
      </c>
      <c r="F4628" t="str">
        <f>HYPERLINK("http://www.sec.gov/Archives/edgar/data/1403708/0001564590-16-014408-index.html")</f>
        <v>http://www.sec.gov/Archives/edgar/data/1403708/0001564590-16-014408-index.html</v>
      </c>
    </row>
    <row r="4629" spans="1:6" x14ac:dyDescent="0.2">
      <c r="A4629" t="s">
        <v>4178</v>
      </c>
      <c r="B4629" s="1">
        <v>1404281</v>
      </c>
      <c r="C4629" s="1">
        <v>2834</v>
      </c>
      <c r="D4629" s="2">
        <v>42439</v>
      </c>
      <c r="E4629" s="1" t="s">
        <v>18</v>
      </c>
      <c r="F4629" t="str">
        <f>HYPERLINK("http://www.sec.gov/Archives/edgar/data/1404281/0001193125-16-499163-index.html")</f>
        <v>http://www.sec.gov/Archives/edgar/data/1404281/0001193125-16-499163-index.html</v>
      </c>
    </row>
    <row r="4630" spans="1:6" x14ac:dyDescent="0.2">
      <c r="A4630" t="s">
        <v>4179</v>
      </c>
      <c r="B4630" s="1">
        <v>1404624</v>
      </c>
      <c r="C4630" s="1">
        <v>7389</v>
      </c>
      <c r="D4630" s="2">
        <v>42439</v>
      </c>
      <c r="E4630" s="1" t="s">
        <v>18</v>
      </c>
      <c r="F4630" t="str">
        <f>HYPERLINK("http://www.sec.gov/Archives/edgar/data/1404624/0001564590-16-014391-index.html")</f>
        <v>http://www.sec.gov/Archives/edgar/data/1404624/0001564590-16-014391-index.html</v>
      </c>
    </row>
    <row r="4631" spans="1:6" x14ac:dyDescent="0.2">
      <c r="A4631" t="s">
        <v>4180</v>
      </c>
      <c r="B4631" s="1">
        <v>1410428</v>
      </c>
      <c r="C4631" s="1">
        <v>6794</v>
      </c>
      <c r="D4631" s="2">
        <v>42439</v>
      </c>
      <c r="E4631" s="1" t="s">
        <v>18</v>
      </c>
      <c r="F4631" t="str">
        <f>HYPERLINK("http://www.sec.gov/Archives/edgar/data/1410428/0001144204-16-087235-index.html")</f>
        <v>http://www.sec.gov/Archives/edgar/data/1410428/0001144204-16-087235-index.html</v>
      </c>
    </row>
    <row r="4632" spans="1:6" x14ac:dyDescent="0.2">
      <c r="A4632" t="s">
        <v>4181</v>
      </c>
      <c r="B4632" s="1">
        <v>1415624</v>
      </c>
      <c r="C4632" s="1">
        <v>7311</v>
      </c>
      <c r="D4632" s="2">
        <v>42439</v>
      </c>
      <c r="E4632" s="1" t="s">
        <v>18</v>
      </c>
      <c r="F4632" t="str">
        <f>HYPERLINK("http://www.sec.gov/Archives/edgar/data/1415624/0001437749-16-027335-index.html")</f>
        <v>http://www.sec.gov/Archives/edgar/data/1415624/0001437749-16-027335-index.html</v>
      </c>
    </row>
    <row r="4633" spans="1:6" x14ac:dyDescent="0.2">
      <c r="A4633" t="s">
        <v>4182</v>
      </c>
      <c r="B4633" s="1">
        <v>1431372</v>
      </c>
      <c r="C4633" s="1">
        <v>1311</v>
      </c>
      <c r="D4633" s="2">
        <v>42439</v>
      </c>
      <c r="E4633" s="1" t="s">
        <v>18</v>
      </c>
      <c r="F4633" t="str">
        <f>HYPERLINK("http://www.sec.gov/Archives/edgar/data/1431372/0001564590-16-014421-index.html")</f>
        <v>http://www.sec.gov/Archives/edgar/data/1431372/0001564590-16-014421-index.html</v>
      </c>
    </row>
    <row r="4634" spans="1:6" x14ac:dyDescent="0.2">
      <c r="A4634" t="s">
        <v>4183</v>
      </c>
      <c r="B4634" s="1">
        <v>1433714</v>
      </c>
      <c r="C4634" s="1">
        <v>7374</v>
      </c>
      <c r="D4634" s="2">
        <v>42439</v>
      </c>
      <c r="E4634" s="1" t="s">
        <v>18</v>
      </c>
      <c r="F4634" t="str">
        <f>HYPERLINK("http://www.sec.gov/Archives/edgar/data/1433714/0001433714-16-000059-index.html")</f>
        <v>http://www.sec.gov/Archives/edgar/data/1433714/0001433714-16-000059-index.html</v>
      </c>
    </row>
    <row r="4635" spans="1:6" x14ac:dyDescent="0.2">
      <c r="A4635" t="s">
        <v>4184</v>
      </c>
      <c r="B4635" s="1">
        <v>1449278</v>
      </c>
      <c r="C4635" s="1">
        <v>7372</v>
      </c>
      <c r="D4635" s="2">
        <v>42439</v>
      </c>
      <c r="E4635" s="1" t="s">
        <v>18</v>
      </c>
      <c r="F4635" t="str">
        <f>HYPERLINK("http://www.sec.gov/Archives/edgar/data/1449278/0001564590-16-014450-index.html")</f>
        <v>http://www.sec.gov/Archives/edgar/data/1449278/0001564590-16-014450-index.html</v>
      </c>
    </row>
    <row r="4636" spans="1:6" x14ac:dyDescent="0.2">
      <c r="A4636" t="s">
        <v>4185</v>
      </c>
      <c r="B4636" s="1">
        <v>1449732</v>
      </c>
      <c r="C4636" s="1">
        <v>1389</v>
      </c>
      <c r="D4636" s="2">
        <v>42439</v>
      </c>
      <c r="E4636" s="1" t="s">
        <v>18</v>
      </c>
      <c r="F4636" t="str">
        <f>HYPERLINK("http://www.sec.gov/Archives/edgar/data/1449732/0001449732-16-000018-index.html")</f>
        <v>http://www.sec.gov/Archives/edgar/data/1449732/0001449732-16-000018-index.html</v>
      </c>
    </row>
    <row r="4637" spans="1:6" x14ac:dyDescent="0.2">
      <c r="A4637" t="s">
        <v>4186</v>
      </c>
      <c r="B4637" s="1">
        <v>1456016</v>
      </c>
      <c r="C4637" s="1">
        <v>6798</v>
      </c>
      <c r="D4637" s="2">
        <v>42439</v>
      </c>
      <c r="E4637" s="1" t="s">
        <v>18</v>
      </c>
      <c r="F4637" t="str">
        <f>HYPERLINK("http://www.sec.gov/Archives/edgar/data/1456016/0001456016-16-000089-index.html")</f>
        <v>http://www.sec.gov/Archives/edgar/data/1456016/0001456016-16-000089-index.html</v>
      </c>
    </row>
    <row r="4638" spans="1:6" x14ac:dyDescent="0.2">
      <c r="A4638" t="s">
        <v>4187</v>
      </c>
      <c r="B4638" s="1">
        <v>1459417</v>
      </c>
      <c r="C4638" s="1">
        <v>7372</v>
      </c>
      <c r="D4638" s="2">
        <v>42439</v>
      </c>
      <c r="E4638" s="1" t="s">
        <v>18</v>
      </c>
      <c r="F4638" t="str">
        <f>HYPERLINK("http://www.sec.gov/Archives/edgar/data/1459417/0001047469-16-010989-index.html")</f>
        <v>http://www.sec.gov/Archives/edgar/data/1459417/0001047469-16-010989-index.html</v>
      </c>
    </row>
    <row r="4639" spans="1:6" x14ac:dyDescent="0.2">
      <c r="A4639" t="s">
        <v>4188</v>
      </c>
      <c r="B4639" s="1">
        <v>1464963</v>
      </c>
      <c r="C4639" s="1">
        <v>1311</v>
      </c>
      <c r="D4639" s="2">
        <v>42439</v>
      </c>
      <c r="E4639" s="1" t="s">
        <v>18</v>
      </c>
      <c r="F4639" t="str">
        <f>HYPERLINK("http://www.sec.gov/Archives/edgar/data/1464963/0001193125-16-500218-index.html")</f>
        <v>http://www.sec.gov/Archives/edgar/data/1464963/0001193125-16-500218-index.html</v>
      </c>
    </row>
    <row r="4640" spans="1:6" x14ac:dyDescent="0.2">
      <c r="A4640" t="s">
        <v>4189</v>
      </c>
      <c r="B4640" s="1">
        <v>1472595</v>
      </c>
      <c r="C4640" s="1">
        <v>8741</v>
      </c>
      <c r="D4640" s="2">
        <v>42439</v>
      </c>
      <c r="E4640" s="1" t="s">
        <v>18</v>
      </c>
      <c r="F4640" t="str">
        <f>HYPERLINK("http://www.sec.gov/Archives/edgar/data/1472595/0001472595-16-000160-index.html")</f>
        <v>http://www.sec.gov/Archives/edgar/data/1472595/0001472595-16-000160-index.html</v>
      </c>
    </row>
    <row r="4641" spans="1:6" x14ac:dyDescent="0.2">
      <c r="A4641" t="s">
        <v>4190</v>
      </c>
      <c r="B4641" s="1">
        <v>1478121</v>
      </c>
      <c r="C4641" s="1">
        <v>2834</v>
      </c>
      <c r="D4641" s="2">
        <v>42439</v>
      </c>
      <c r="E4641" s="1" t="s">
        <v>18</v>
      </c>
      <c r="F4641" t="str">
        <f>HYPERLINK("http://www.sec.gov/Archives/edgar/data/1478121/0001193125-16-500204-index.html")</f>
        <v>http://www.sec.gov/Archives/edgar/data/1478121/0001193125-16-500204-index.html</v>
      </c>
    </row>
    <row r="4642" spans="1:6" x14ac:dyDescent="0.2">
      <c r="A4642" t="s">
        <v>4191</v>
      </c>
      <c r="B4642" s="1">
        <v>1484949</v>
      </c>
      <c r="C4642" s="1">
        <v>6035</v>
      </c>
      <c r="D4642" s="2">
        <v>42439</v>
      </c>
      <c r="E4642" s="1" t="s">
        <v>18</v>
      </c>
      <c r="F4642" t="str">
        <f>HYPERLINK("http://www.sec.gov/Archives/edgar/data/1484949/0001571049-16-012881-index.html")</f>
        <v>http://www.sec.gov/Archives/edgar/data/1484949/0001571049-16-012881-index.html</v>
      </c>
    </row>
    <row r="4643" spans="1:6" x14ac:dyDescent="0.2">
      <c r="A4643" t="s">
        <v>4192</v>
      </c>
      <c r="B4643" s="1">
        <v>1490165</v>
      </c>
      <c r="C4643" s="1">
        <v>3720</v>
      </c>
      <c r="D4643" s="2">
        <v>42439</v>
      </c>
      <c r="E4643" s="1" t="s">
        <v>18</v>
      </c>
      <c r="F4643" t="str">
        <f>HYPERLINK("http://www.sec.gov/Archives/edgar/data/1490165/0001490165-16-000080-index.html")</f>
        <v>http://www.sec.gov/Archives/edgar/data/1490165/0001490165-16-000080-index.html</v>
      </c>
    </row>
    <row r="4644" spans="1:6" x14ac:dyDescent="0.2">
      <c r="A4644" t="s">
        <v>4193</v>
      </c>
      <c r="B4644" s="1">
        <v>1496268</v>
      </c>
      <c r="C4644" s="1">
        <v>3842</v>
      </c>
      <c r="D4644" s="2">
        <v>42439</v>
      </c>
      <c r="E4644" s="1" t="s">
        <v>18</v>
      </c>
      <c r="F4644" t="str">
        <f>HYPERLINK("http://www.sec.gov/Archives/edgar/data/1496268/0001564590-16-014443-index.html")</f>
        <v>http://www.sec.gov/Archives/edgar/data/1496268/0001564590-16-014443-index.html</v>
      </c>
    </row>
    <row r="4645" spans="1:6" x14ac:dyDescent="0.2">
      <c r="A4645" t="s">
        <v>3347</v>
      </c>
      <c r="B4645" s="1">
        <v>1498291</v>
      </c>
      <c r="C4645" s="1">
        <v>8742</v>
      </c>
      <c r="D4645" s="2">
        <v>42439</v>
      </c>
      <c r="E4645" s="1" t="s">
        <v>18</v>
      </c>
      <c r="F4645" t="str">
        <f>HYPERLINK("http://www.sec.gov/Archives/edgar/data/1498291/0001493152-16-007948-index.html")</f>
        <v>http://www.sec.gov/Archives/edgar/data/1498291/0001493152-16-007948-index.html</v>
      </c>
    </row>
    <row r="4646" spans="1:6" x14ac:dyDescent="0.2">
      <c r="A4646" t="s">
        <v>4194</v>
      </c>
      <c r="B4646" s="1">
        <v>1501134</v>
      </c>
      <c r="C4646" s="1">
        <v>8071</v>
      </c>
      <c r="D4646" s="2">
        <v>42439</v>
      </c>
      <c r="E4646" s="1" t="s">
        <v>18</v>
      </c>
      <c r="F4646" t="str">
        <f>HYPERLINK("http://www.sec.gov/Archives/edgar/data/1501134/0001047469-16-010990-index.html")</f>
        <v>http://www.sec.gov/Archives/edgar/data/1501134/0001047469-16-010990-index.html</v>
      </c>
    </row>
    <row r="4647" spans="1:6" x14ac:dyDescent="0.2">
      <c r="A4647" t="s">
        <v>4195</v>
      </c>
      <c r="B4647" s="1">
        <v>1512074</v>
      </c>
      <c r="C4647" s="1">
        <v>7389</v>
      </c>
      <c r="D4647" s="2">
        <v>42439</v>
      </c>
      <c r="E4647" s="1" t="s">
        <v>18</v>
      </c>
      <c r="F4647" t="str">
        <f>HYPERLINK("http://www.sec.gov/Archives/edgar/data/1512074/0001398432-16-000497-index.html")</f>
        <v>http://www.sec.gov/Archives/edgar/data/1512074/0001398432-16-000497-index.html</v>
      </c>
    </row>
    <row r="4648" spans="1:6" x14ac:dyDescent="0.2">
      <c r="A4648" t="s">
        <v>4196</v>
      </c>
      <c r="B4648" s="1">
        <v>1512673</v>
      </c>
      <c r="C4648" s="1">
        <v>7372</v>
      </c>
      <c r="D4648" s="2">
        <v>42439</v>
      </c>
      <c r="E4648" s="1" t="s">
        <v>18</v>
      </c>
      <c r="F4648" t="str">
        <f>HYPERLINK("http://www.sec.gov/Archives/edgar/data/1512673/0001512673-16-000002-index.html")</f>
        <v>http://www.sec.gov/Archives/edgar/data/1512673/0001512673-16-000002-index.html</v>
      </c>
    </row>
    <row r="4649" spans="1:6" x14ac:dyDescent="0.2">
      <c r="A4649" t="s">
        <v>4197</v>
      </c>
      <c r="B4649" s="1">
        <v>1514128</v>
      </c>
      <c r="C4649" s="1">
        <v>6324</v>
      </c>
      <c r="D4649" s="2">
        <v>42439</v>
      </c>
      <c r="E4649" s="1" t="s">
        <v>18</v>
      </c>
      <c r="F4649" t="str">
        <f>HYPERLINK("http://www.sec.gov/Archives/edgar/data/1514128/0001047469-16-010991-index.html")</f>
        <v>http://www.sec.gov/Archives/edgar/data/1514128/0001047469-16-010991-index.html</v>
      </c>
    </row>
    <row r="4650" spans="1:6" x14ac:dyDescent="0.2">
      <c r="A4650" t="s">
        <v>4198</v>
      </c>
      <c r="B4650" s="1">
        <v>1520744</v>
      </c>
      <c r="C4650" s="1">
        <v>4813</v>
      </c>
      <c r="D4650" s="2">
        <v>42439</v>
      </c>
      <c r="E4650" s="1" t="s">
        <v>18</v>
      </c>
      <c r="F4650" t="str">
        <f>HYPERLINK("http://www.sec.gov/Archives/edgar/data/1520744/0001520744-16-000055-index.html")</f>
        <v>http://www.sec.gov/Archives/edgar/data/1520744/0001520744-16-000055-index.html</v>
      </c>
    </row>
    <row r="4651" spans="1:6" x14ac:dyDescent="0.2">
      <c r="A4651" t="s">
        <v>4199</v>
      </c>
      <c r="B4651" s="1">
        <v>1522182</v>
      </c>
      <c r="C4651" s="1">
        <v>3490</v>
      </c>
      <c r="D4651" s="2">
        <v>42439</v>
      </c>
      <c r="E4651" s="1" t="s">
        <v>18</v>
      </c>
      <c r="F4651" t="str">
        <f>HYPERLINK("http://www.sec.gov/Archives/edgar/data/1522182/0001522182-16-000053-index.html")</f>
        <v>http://www.sec.gov/Archives/edgar/data/1522182/0001522182-16-000053-index.html</v>
      </c>
    </row>
    <row r="4652" spans="1:6" x14ac:dyDescent="0.2">
      <c r="A4652" t="s">
        <v>4200</v>
      </c>
      <c r="B4652" s="1">
        <v>1524769</v>
      </c>
      <c r="C4652" s="1">
        <v>1311</v>
      </c>
      <c r="D4652" s="2">
        <v>42439</v>
      </c>
      <c r="E4652" s="1" t="s">
        <v>18</v>
      </c>
      <c r="F4652" t="str">
        <f>HYPERLINK("http://www.sec.gov/Archives/edgar/data/1524769/0001524769-16-000018-index.html")</f>
        <v>http://www.sec.gov/Archives/edgar/data/1524769/0001524769-16-000018-index.html</v>
      </c>
    </row>
    <row r="4653" spans="1:6" x14ac:dyDescent="0.2">
      <c r="A4653" t="s">
        <v>1666</v>
      </c>
      <c r="B4653" s="1">
        <v>1524931</v>
      </c>
      <c r="C4653" s="1">
        <v>5812</v>
      </c>
      <c r="D4653" s="2">
        <v>42439</v>
      </c>
      <c r="E4653" s="1" t="s">
        <v>18</v>
      </c>
      <c r="F4653" t="str">
        <f>HYPERLINK("http://www.sec.gov/Archives/edgar/data/1524931/0001524931-16-000122-index.html")</f>
        <v>http://www.sec.gov/Archives/edgar/data/1524931/0001524931-16-000122-index.html</v>
      </c>
    </row>
    <row r="4654" spans="1:6" x14ac:dyDescent="0.2">
      <c r="A4654" t="s">
        <v>4201</v>
      </c>
      <c r="B4654" s="1">
        <v>1525287</v>
      </c>
      <c r="C4654" s="1">
        <v>5171</v>
      </c>
      <c r="D4654" s="2">
        <v>42439</v>
      </c>
      <c r="E4654" s="1" t="s">
        <v>18</v>
      </c>
      <c r="F4654" t="str">
        <f>HYPERLINK("http://www.sec.gov/Archives/edgar/data/1525287/0001525287-16-000068-index.html")</f>
        <v>http://www.sec.gov/Archives/edgar/data/1525287/0001525287-16-000068-index.html</v>
      </c>
    </row>
    <row r="4655" spans="1:6" x14ac:dyDescent="0.2">
      <c r="A4655" t="s">
        <v>4202</v>
      </c>
      <c r="B4655" s="1">
        <v>1527541</v>
      </c>
      <c r="C4655" s="1">
        <v>6798</v>
      </c>
      <c r="D4655" s="2">
        <v>42439</v>
      </c>
      <c r="E4655" s="1" t="s">
        <v>18</v>
      </c>
      <c r="F4655" t="str">
        <f>HYPERLINK("http://www.sec.gov/Archives/edgar/data/1527541/0001527541-16-000246-index.html")</f>
        <v>http://www.sec.gov/Archives/edgar/data/1527541/0001527541-16-000246-index.html</v>
      </c>
    </row>
    <row r="4656" spans="1:6" x14ac:dyDescent="0.2">
      <c r="A4656" t="s">
        <v>4203</v>
      </c>
      <c r="B4656" s="1">
        <v>1527590</v>
      </c>
      <c r="C4656" s="1">
        <v>6798</v>
      </c>
      <c r="D4656" s="2">
        <v>42439</v>
      </c>
      <c r="E4656" s="1" t="s">
        <v>18</v>
      </c>
      <c r="F4656" t="str">
        <f>HYPERLINK("http://www.sec.gov/Archives/edgar/data/1527590/0001144204-16-087286-index.html")</f>
        <v>http://www.sec.gov/Archives/edgar/data/1527590/0001144204-16-087286-index.html</v>
      </c>
    </row>
    <row r="4657" spans="1:6" x14ac:dyDescent="0.2">
      <c r="A4657" t="s">
        <v>4204</v>
      </c>
      <c r="B4657" s="1">
        <v>1535955</v>
      </c>
      <c r="C4657" s="1">
        <v>2834</v>
      </c>
      <c r="D4657" s="2">
        <v>42439</v>
      </c>
      <c r="E4657" s="1" t="s">
        <v>18</v>
      </c>
      <c r="F4657" t="str">
        <f>HYPERLINK("http://www.sec.gov/Archives/edgar/data/1535955/0001144204-16-087232-index.html")</f>
        <v>http://www.sec.gov/Archives/edgar/data/1535955/0001144204-16-087232-index.html</v>
      </c>
    </row>
    <row r="4658" spans="1:6" x14ac:dyDescent="0.2">
      <c r="A4658" t="s">
        <v>4205</v>
      </c>
      <c r="B4658" s="1">
        <v>1549966</v>
      </c>
      <c r="C4658" s="1">
        <v>6282</v>
      </c>
      <c r="D4658" s="2">
        <v>42439</v>
      </c>
      <c r="E4658" s="1" t="s">
        <v>18</v>
      </c>
      <c r="F4658" t="str">
        <f>HYPERLINK("http://www.sec.gov/Archives/edgar/data/1549966/0001564590-16-014433-index.html")</f>
        <v>http://www.sec.gov/Archives/edgar/data/1549966/0001564590-16-014433-index.html</v>
      </c>
    </row>
    <row r="4659" spans="1:6" x14ac:dyDescent="0.2">
      <c r="A4659" t="s">
        <v>4206</v>
      </c>
      <c r="B4659" s="1">
        <v>1551693</v>
      </c>
      <c r="C4659" s="1">
        <v>3842</v>
      </c>
      <c r="D4659" s="2">
        <v>42439</v>
      </c>
      <c r="E4659" s="1" t="s">
        <v>18</v>
      </c>
      <c r="F4659" t="str">
        <f>HYPERLINK("http://www.sec.gov/Archives/edgar/data/1551693/0001558370-16-003967-index.html")</f>
        <v>http://www.sec.gov/Archives/edgar/data/1551693/0001558370-16-003967-index.html</v>
      </c>
    </row>
    <row r="4660" spans="1:6" x14ac:dyDescent="0.2">
      <c r="A4660" t="s">
        <v>4207</v>
      </c>
      <c r="B4660" s="1">
        <v>1558441</v>
      </c>
      <c r="C4660" s="1">
        <v>6798</v>
      </c>
      <c r="D4660" s="2">
        <v>42439</v>
      </c>
      <c r="E4660" s="1" t="s">
        <v>18</v>
      </c>
      <c r="F4660" t="str">
        <f>HYPERLINK("http://www.sec.gov/Archives/edgar/data/1558441/0001193125-16-499766-index.html")</f>
        <v>http://www.sec.gov/Archives/edgar/data/1558441/0001193125-16-499766-index.html</v>
      </c>
    </row>
    <row r="4661" spans="1:6" x14ac:dyDescent="0.2">
      <c r="A4661" t="s">
        <v>4208</v>
      </c>
      <c r="B4661" s="1">
        <v>1560327</v>
      </c>
      <c r="C4661" s="1">
        <v>7372</v>
      </c>
      <c r="D4661" s="2">
        <v>42439</v>
      </c>
      <c r="E4661" s="1" t="s">
        <v>18</v>
      </c>
      <c r="F4661" t="str">
        <f>HYPERLINK("http://www.sec.gov/Archives/edgar/data/1560327/0001193125-16-500210-index.html")</f>
        <v>http://www.sec.gov/Archives/edgar/data/1560327/0001193125-16-500210-index.html</v>
      </c>
    </row>
    <row r="4662" spans="1:6" x14ac:dyDescent="0.2">
      <c r="A4662" t="s">
        <v>4209</v>
      </c>
      <c r="B4662" s="1">
        <v>1560672</v>
      </c>
      <c r="C4662" s="1">
        <v>6798</v>
      </c>
      <c r="D4662" s="2">
        <v>42439</v>
      </c>
      <c r="E4662" s="1" t="s">
        <v>18</v>
      </c>
      <c r="F4662" t="str">
        <f>HYPERLINK("http://www.sec.gov/Archives/edgar/data/1560672/0001560672-16-000061-index.html")</f>
        <v>http://www.sec.gov/Archives/edgar/data/1560672/0001560672-16-000061-index.html</v>
      </c>
    </row>
    <row r="4663" spans="1:6" x14ac:dyDescent="0.2">
      <c r="A4663" t="s">
        <v>4210</v>
      </c>
      <c r="B4663" s="1">
        <v>1562214</v>
      </c>
      <c r="C4663" s="1">
        <v>6282</v>
      </c>
      <c r="D4663" s="2">
        <v>42439</v>
      </c>
      <c r="E4663" s="1" t="s">
        <v>18</v>
      </c>
      <c r="F4663" t="str">
        <f>HYPERLINK("http://www.sec.gov/Archives/edgar/data/1562214/0001144204-16-087258-index.html")</f>
        <v>http://www.sec.gov/Archives/edgar/data/1562214/0001144204-16-087258-index.html</v>
      </c>
    </row>
    <row r="4664" spans="1:6" x14ac:dyDescent="0.2">
      <c r="A4664" t="s">
        <v>4211</v>
      </c>
      <c r="B4664" s="1">
        <v>1562463</v>
      </c>
      <c r="C4664" s="1">
        <v>6022</v>
      </c>
      <c r="D4664" s="2">
        <v>42439</v>
      </c>
      <c r="E4664" s="1" t="s">
        <v>18</v>
      </c>
      <c r="F4664" t="str">
        <f>HYPERLINK("http://www.sec.gov/Archives/edgar/data/1562463/0001562463-16-000087-index.html")</f>
        <v>http://www.sec.gov/Archives/edgar/data/1562463/0001562463-16-000087-index.html</v>
      </c>
    </row>
    <row r="4665" spans="1:6" x14ac:dyDescent="0.2">
      <c r="A4665" t="s">
        <v>1228</v>
      </c>
      <c r="B4665" s="1">
        <v>1563922</v>
      </c>
      <c r="C4665" s="1">
        <v>4911</v>
      </c>
      <c r="D4665" s="2">
        <v>42439</v>
      </c>
      <c r="E4665" s="1" t="s">
        <v>18</v>
      </c>
      <c r="F4665" t="str">
        <f>HYPERLINK("http://www.sec.gov/Archives/edgar/data/1563922/0001615774-16-004441-index.html")</f>
        <v>http://www.sec.gov/Archives/edgar/data/1563922/0001615774-16-004441-index.html</v>
      </c>
    </row>
    <row r="4666" spans="1:6" x14ac:dyDescent="0.2">
      <c r="A4666" t="s">
        <v>4212</v>
      </c>
      <c r="B4666" s="1">
        <v>1568669</v>
      </c>
      <c r="C4666" s="1">
        <v>6162</v>
      </c>
      <c r="D4666" s="2">
        <v>42439</v>
      </c>
      <c r="E4666" s="1" t="s">
        <v>18</v>
      </c>
      <c r="F4666" t="str">
        <f>HYPERLINK("http://www.sec.gov/Archives/edgar/data/1568669/0001558370-16-003986-index.html")</f>
        <v>http://www.sec.gov/Archives/edgar/data/1568669/0001558370-16-003986-index.html</v>
      </c>
    </row>
    <row r="4667" spans="1:6" x14ac:dyDescent="0.2">
      <c r="A4667" t="s">
        <v>4213</v>
      </c>
      <c r="B4667" s="1">
        <v>1573683</v>
      </c>
      <c r="C4667" s="1">
        <v>7389</v>
      </c>
      <c r="D4667" s="2">
        <v>42439</v>
      </c>
      <c r="E4667" s="1" t="s">
        <v>18</v>
      </c>
      <c r="F4667" t="str">
        <f>HYPERLINK("http://www.sec.gov/Archives/edgar/data/1573683/0001558370-16-004003-index.html")</f>
        <v>http://www.sec.gov/Archives/edgar/data/1573683/0001558370-16-004003-index.html</v>
      </c>
    </row>
    <row r="4668" spans="1:6" x14ac:dyDescent="0.2">
      <c r="A4668" t="s">
        <v>4214</v>
      </c>
      <c r="B4668" s="1">
        <v>1574235</v>
      </c>
      <c r="C4668" s="1">
        <v>2834</v>
      </c>
      <c r="D4668" s="2">
        <v>42439</v>
      </c>
      <c r="E4668" s="1" t="s">
        <v>18</v>
      </c>
      <c r="F4668" t="str">
        <f>HYPERLINK("http://www.sec.gov/Archives/edgar/data/1574235/0001193125-16-499264-index.html")</f>
        <v>http://www.sec.gov/Archives/edgar/data/1574235/0001193125-16-499264-index.html</v>
      </c>
    </row>
    <row r="4669" spans="1:6" x14ac:dyDescent="0.2">
      <c r="A4669" t="s">
        <v>4215</v>
      </c>
      <c r="B4669" s="1">
        <v>1580185</v>
      </c>
      <c r="C4669" s="1">
        <v>6199</v>
      </c>
      <c r="D4669" s="2">
        <v>42439</v>
      </c>
      <c r="E4669" s="1" t="s">
        <v>18</v>
      </c>
      <c r="F4669" t="str">
        <f>HYPERLINK("http://www.sec.gov/Archives/edgar/data/1580185/0001580185-16-000082-index.html")</f>
        <v>http://www.sec.gov/Archives/edgar/data/1580185/0001580185-16-000082-index.html</v>
      </c>
    </row>
    <row r="4670" spans="1:6" x14ac:dyDescent="0.2">
      <c r="A4670" t="s">
        <v>4216</v>
      </c>
      <c r="B4670" s="1">
        <v>1590364</v>
      </c>
      <c r="C4670" s="1">
        <v>7350</v>
      </c>
      <c r="D4670" s="2">
        <v>42439</v>
      </c>
      <c r="E4670" s="1" t="s">
        <v>18</v>
      </c>
      <c r="F4670" t="str">
        <f>HYPERLINK("http://www.sec.gov/Archives/edgar/data/1590364/0001590364-16-000014-index.html")</f>
        <v>http://www.sec.gov/Archives/edgar/data/1590364/0001590364-16-000014-index.html</v>
      </c>
    </row>
    <row r="4671" spans="1:6" x14ac:dyDescent="0.2">
      <c r="A4671" t="s">
        <v>4217</v>
      </c>
      <c r="B4671" s="1">
        <v>1593548</v>
      </c>
      <c r="C4671" s="1">
        <v>3990</v>
      </c>
      <c r="D4671" s="2">
        <v>42439</v>
      </c>
      <c r="E4671" s="1" t="s">
        <v>18</v>
      </c>
      <c r="F4671" t="str">
        <f>HYPERLINK("http://www.sec.gov/Archives/edgar/data/1593548/0001593548-16-000015-index.html")</f>
        <v>http://www.sec.gov/Archives/edgar/data/1593548/0001593548-16-000015-index.html</v>
      </c>
    </row>
    <row r="4672" spans="1:6" x14ac:dyDescent="0.2">
      <c r="A4672" t="s">
        <v>4218</v>
      </c>
      <c r="B4672" s="1">
        <v>1600626</v>
      </c>
      <c r="C4672" s="1">
        <v>6798</v>
      </c>
      <c r="D4672" s="2">
        <v>42439</v>
      </c>
      <c r="E4672" s="1" t="s">
        <v>18</v>
      </c>
      <c r="F4672" t="str">
        <f>HYPERLINK("http://www.sec.gov/Archives/edgar/data/1600626/0001600626-16-000145-index.html")</f>
        <v>http://www.sec.gov/Archives/edgar/data/1600626/0001600626-16-000145-index.html</v>
      </c>
    </row>
    <row r="4673" spans="1:6" x14ac:dyDescent="0.2">
      <c r="A4673" t="s">
        <v>4219</v>
      </c>
      <c r="B4673" s="1">
        <v>1609989</v>
      </c>
      <c r="C4673" s="1">
        <v>2000</v>
      </c>
      <c r="D4673" s="2">
        <v>42439</v>
      </c>
      <c r="E4673" s="1" t="s">
        <v>18</v>
      </c>
      <c r="F4673" t="str">
        <f>HYPERLINK("http://www.sec.gov/Archives/edgar/data/1609989/0001609989-16-000028-index.html")</f>
        <v>http://www.sec.gov/Archives/edgar/data/1609989/0001609989-16-000028-index.html</v>
      </c>
    </row>
    <row r="4674" spans="1:6" x14ac:dyDescent="0.2">
      <c r="A4674" t="s">
        <v>4220</v>
      </c>
      <c r="B4674" s="1">
        <v>1610682</v>
      </c>
      <c r="C4674" s="1">
        <v>4013</v>
      </c>
      <c r="D4674" s="2">
        <v>42439</v>
      </c>
      <c r="E4674" s="1" t="s">
        <v>18</v>
      </c>
      <c r="F4674" t="str">
        <f>HYPERLINK("http://www.sec.gov/Archives/edgar/data/1610682/0001610682-16-000157-index.html")</f>
        <v>http://www.sec.gov/Archives/edgar/data/1610682/0001610682-16-000157-index.html</v>
      </c>
    </row>
    <row r="4675" spans="1:6" x14ac:dyDescent="0.2">
      <c r="A4675" t="s">
        <v>4221</v>
      </c>
      <c r="B4675" s="1">
        <v>1610793</v>
      </c>
      <c r="C4675" s="1">
        <v>6331</v>
      </c>
      <c r="D4675" s="2">
        <v>42439</v>
      </c>
      <c r="E4675" s="1" t="s">
        <v>18</v>
      </c>
      <c r="F4675" t="str">
        <f>HYPERLINK("http://www.sec.gov/Archives/edgar/data/1610793/0001558370-16-004001-index.html")</f>
        <v>http://www.sec.gov/Archives/edgar/data/1610793/0001558370-16-004001-index.html</v>
      </c>
    </row>
    <row r="4676" spans="1:6" x14ac:dyDescent="0.2">
      <c r="A4676" t="s">
        <v>4222</v>
      </c>
      <c r="B4676" s="1">
        <v>1611231</v>
      </c>
      <c r="C4676" s="1">
        <v>7310</v>
      </c>
      <c r="D4676" s="2">
        <v>42439</v>
      </c>
      <c r="E4676" s="1" t="s">
        <v>18</v>
      </c>
      <c r="F4676" t="str">
        <f>HYPERLINK("http://www.sec.gov/Archives/edgar/data/1611231/0001611231-16-000026-index.html")</f>
        <v>http://www.sec.gov/Archives/edgar/data/1611231/0001611231-16-000026-index.html</v>
      </c>
    </row>
    <row r="4677" spans="1:6" x14ac:dyDescent="0.2">
      <c r="A4677" t="s">
        <v>4223</v>
      </c>
      <c r="B4677" s="1">
        <v>1616000</v>
      </c>
      <c r="C4677" s="1">
        <v>7011</v>
      </c>
      <c r="D4677" s="2">
        <v>42439</v>
      </c>
      <c r="E4677" s="1" t="s">
        <v>18</v>
      </c>
      <c r="F4677" t="str">
        <f>HYPERLINK("http://www.sec.gov/Archives/edgar/data/1616000/0001616000-16-000089-index.html")</f>
        <v>http://www.sec.gov/Archives/edgar/data/1616000/0001616000-16-000089-index.html</v>
      </c>
    </row>
    <row r="4678" spans="1:6" x14ac:dyDescent="0.2">
      <c r="A4678" t="s">
        <v>4224</v>
      </c>
      <c r="B4678" s="1">
        <v>1618563</v>
      </c>
      <c r="C4678" s="1">
        <v>6798</v>
      </c>
      <c r="D4678" s="2">
        <v>42439</v>
      </c>
      <c r="E4678" s="1" t="s">
        <v>18</v>
      </c>
      <c r="F4678" t="str">
        <f>HYPERLINK("http://www.sec.gov/Archives/edgar/data/1618563/0001618563-16-000055-index.html")</f>
        <v>http://www.sec.gov/Archives/edgar/data/1618563/0001618563-16-000055-index.html</v>
      </c>
    </row>
    <row r="4679" spans="1:6" x14ac:dyDescent="0.2">
      <c r="A4679" t="s">
        <v>4225</v>
      </c>
      <c r="B4679" s="1">
        <v>1620459</v>
      </c>
      <c r="C4679" s="1">
        <v>6331</v>
      </c>
      <c r="D4679" s="2">
        <v>42439</v>
      </c>
      <c r="E4679" s="1" t="s">
        <v>18</v>
      </c>
      <c r="F4679" t="str">
        <f>HYPERLINK("http://www.sec.gov/Archives/edgar/data/1620459/0001571049-16-012907-index.html")</f>
        <v>http://www.sec.gov/Archives/edgar/data/1620459/0001571049-16-012907-index.html</v>
      </c>
    </row>
    <row r="4680" spans="1:6" x14ac:dyDescent="0.2">
      <c r="A4680" t="s">
        <v>4226</v>
      </c>
      <c r="B4680" s="1">
        <v>1639947</v>
      </c>
      <c r="C4680" s="1">
        <v>6798</v>
      </c>
      <c r="D4680" s="2">
        <v>42439</v>
      </c>
      <c r="E4680" s="1" t="s">
        <v>18</v>
      </c>
      <c r="F4680" t="str">
        <f>HYPERLINK("http://www.sec.gov/Archives/edgar/data/1639947/0001639947-16-000068-index.html")</f>
        <v>http://www.sec.gov/Archives/edgar/data/1639947/0001639947-16-000068-index.html</v>
      </c>
    </row>
    <row r="4681" spans="1:6" x14ac:dyDescent="0.2">
      <c r="A4681" t="s">
        <v>4227</v>
      </c>
      <c r="B4681" s="1">
        <v>205402</v>
      </c>
      <c r="C4681" s="1">
        <v>5063</v>
      </c>
      <c r="D4681" s="2">
        <v>42439</v>
      </c>
      <c r="E4681" s="1" t="s">
        <v>18</v>
      </c>
      <c r="F4681" t="str">
        <f>HYPERLINK("http://www.sec.gov/Archives/edgar/data/205402/0000205402-16-000040-index.html")</f>
        <v>http://www.sec.gov/Archives/edgar/data/205402/0000205402-16-000040-index.html</v>
      </c>
    </row>
    <row r="4682" spans="1:6" x14ac:dyDescent="0.2">
      <c r="A4682" t="s">
        <v>4228</v>
      </c>
      <c r="B4682" s="1">
        <v>25475</v>
      </c>
      <c r="C4682" s="1">
        <v>6411</v>
      </c>
      <c r="D4682" s="2">
        <v>42439</v>
      </c>
      <c r="E4682" s="1" t="s">
        <v>18</v>
      </c>
      <c r="F4682" t="str">
        <f>HYPERLINK("http://www.sec.gov/Archives/edgar/data/25475/0000025475-16-000150-index.html")</f>
        <v>http://www.sec.gov/Archives/edgar/data/25475/0000025475-16-000150-index.html</v>
      </c>
    </row>
    <row r="4683" spans="1:6" x14ac:dyDescent="0.2">
      <c r="A4683" t="s">
        <v>1563</v>
      </c>
      <c r="B4683" s="1">
        <v>313716</v>
      </c>
      <c r="C4683" s="1">
        <v>3541</v>
      </c>
      <c r="D4683" s="2">
        <v>42439</v>
      </c>
      <c r="E4683" s="1" t="s">
        <v>18</v>
      </c>
      <c r="F4683" t="str">
        <f>HYPERLINK("http://www.sec.gov/Archives/edgar/data/313716/0000313716-16-000075-index.html")</f>
        <v>http://www.sec.gov/Archives/edgar/data/313716/0000313716-16-000075-index.html</v>
      </c>
    </row>
    <row r="4684" spans="1:6" x14ac:dyDescent="0.2">
      <c r="A4684" t="s">
        <v>4229</v>
      </c>
      <c r="B4684" s="1">
        <v>356171</v>
      </c>
      <c r="C4684" s="1">
        <v>6022</v>
      </c>
      <c r="D4684" s="2">
        <v>42439</v>
      </c>
      <c r="E4684" s="1" t="s">
        <v>18</v>
      </c>
      <c r="F4684" t="str">
        <f>HYPERLINK("http://www.sec.gov/Archives/edgar/data/356171/0001193125-16-500193-index.html")</f>
        <v>http://www.sec.gov/Archives/edgar/data/356171/0001193125-16-500193-index.html</v>
      </c>
    </row>
    <row r="4685" spans="1:6" x14ac:dyDescent="0.2">
      <c r="A4685" t="s">
        <v>4230</v>
      </c>
      <c r="B4685" s="1">
        <v>357097</v>
      </c>
      <c r="C4685" s="1">
        <v>2834</v>
      </c>
      <c r="D4685" s="2">
        <v>42439</v>
      </c>
      <c r="E4685" s="1" t="s">
        <v>18</v>
      </c>
      <c r="F4685" t="str">
        <f>HYPERLINK("http://www.sec.gov/Archives/edgar/data/357097/0000357097-16-000133-index.html")</f>
        <v>http://www.sec.gov/Archives/edgar/data/357097/0000357097-16-000133-index.html</v>
      </c>
    </row>
    <row r="4686" spans="1:6" x14ac:dyDescent="0.2">
      <c r="A4686" t="s">
        <v>4231</v>
      </c>
      <c r="B4686" s="1">
        <v>701288</v>
      </c>
      <c r="C4686" s="1">
        <v>3841</v>
      </c>
      <c r="D4686" s="2">
        <v>42439</v>
      </c>
      <c r="E4686" s="1" t="s">
        <v>18</v>
      </c>
      <c r="F4686" t="str">
        <f>HYPERLINK("http://www.sec.gov/Archives/edgar/data/701288/0001354488-16-006512-index.html")</f>
        <v>http://www.sec.gov/Archives/edgar/data/701288/0001354488-16-006512-index.html</v>
      </c>
    </row>
    <row r="4687" spans="1:6" x14ac:dyDescent="0.2">
      <c r="A4687" t="s">
        <v>4232</v>
      </c>
      <c r="B4687" s="1">
        <v>706698</v>
      </c>
      <c r="C4687" s="1">
        <v>3841</v>
      </c>
      <c r="D4687" s="2">
        <v>42439</v>
      </c>
      <c r="E4687" s="1" t="s">
        <v>18</v>
      </c>
      <c r="F4687" t="str">
        <f>HYPERLINK("http://www.sec.gov/Archives/edgar/data/706698/0001096906-16-001451-index.html")</f>
        <v>http://www.sec.gov/Archives/edgar/data/706698/0001096906-16-001451-index.html</v>
      </c>
    </row>
    <row r="4688" spans="1:6" x14ac:dyDescent="0.2">
      <c r="A4688" t="s">
        <v>4233</v>
      </c>
      <c r="B4688" s="1">
        <v>709337</v>
      </c>
      <c r="C4688" s="1">
        <v>6022</v>
      </c>
      <c r="D4688" s="2">
        <v>42439</v>
      </c>
      <c r="E4688" s="1" t="s">
        <v>18</v>
      </c>
      <c r="F4688" t="str">
        <f>HYPERLINK("http://www.sec.gov/Archives/edgar/data/709337/0001564590-16-014394-index.html")</f>
        <v>http://www.sec.gov/Archives/edgar/data/709337/0001564590-16-014394-index.html</v>
      </c>
    </row>
    <row r="4689" spans="1:6" x14ac:dyDescent="0.2">
      <c r="A4689" t="s">
        <v>4234</v>
      </c>
      <c r="B4689" s="1">
        <v>711669</v>
      </c>
      <c r="C4689" s="1">
        <v>6022</v>
      </c>
      <c r="D4689" s="2">
        <v>42439</v>
      </c>
      <c r="E4689" s="1" t="s">
        <v>18</v>
      </c>
      <c r="F4689" t="str">
        <f>HYPERLINK("http://www.sec.gov/Archives/edgar/data/711669/0001437749-16-027206-index.html")</f>
        <v>http://www.sec.gov/Archives/edgar/data/711669/0001437749-16-027206-index.html</v>
      </c>
    </row>
    <row r="4690" spans="1:6" x14ac:dyDescent="0.2">
      <c r="A4690" t="s">
        <v>4235</v>
      </c>
      <c r="B4690" s="1">
        <v>716605</v>
      </c>
      <c r="C4690" s="1">
        <v>6022</v>
      </c>
      <c r="D4690" s="2">
        <v>42439</v>
      </c>
      <c r="E4690" s="1" t="s">
        <v>18</v>
      </c>
      <c r="F4690" t="str">
        <f>HYPERLINK("http://www.sec.gov/Archives/edgar/data/716605/0001628280-16-012570-index.html")</f>
        <v>http://www.sec.gov/Archives/edgar/data/716605/0001628280-16-012570-index.html</v>
      </c>
    </row>
    <row r="4691" spans="1:6" x14ac:dyDescent="0.2">
      <c r="A4691" t="s">
        <v>4236</v>
      </c>
      <c r="B4691" s="1">
        <v>717538</v>
      </c>
      <c r="C4691" s="1">
        <v>6021</v>
      </c>
      <c r="D4691" s="2">
        <v>42439</v>
      </c>
      <c r="E4691" s="1" t="s">
        <v>18</v>
      </c>
      <c r="F4691" t="str">
        <f>HYPERLINK("http://www.sec.gov/Archives/edgar/data/717538/0000717538-16-000214-index.html")</f>
        <v>http://www.sec.gov/Archives/edgar/data/717538/0000717538-16-000214-index.html</v>
      </c>
    </row>
    <row r="4692" spans="1:6" x14ac:dyDescent="0.2">
      <c r="A4692" t="s">
        <v>4237</v>
      </c>
      <c r="B4692" s="1">
        <v>72162</v>
      </c>
      <c r="C4692" s="1">
        <v>2810</v>
      </c>
      <c r="D4692" s="2">
        <v>42439</v>
      </c>
      <c r="E4692" s="1" t="s">
        <v>18</v>
      </c>
      <c r="F4692" t="str">
        <f>HYPERLINK("http://www.sec.gov/Archives/edgar/data/72162/0001564590-16-014434-index.html")</f>
        <v>http://www.sec.gov/Archives/edgar/data/72162/0001564590-16-014434-index.html</v>
      </c>
    </row>
    <row r="4693" spans="1:6" x14ac:dyDescent="0.2">
      <c r="A4693" t="s">
        <v>4238</v>
      </c>
      <c r="B4693" s="1">
        <v>722077</v>
      </c>
      <c r="C4693" s="1">
        <v>7830</v>
      </c>
      <c r="D4693" s="2">
        <v>42439</v>
      </c>
      <c r="E4693" s="1" t="s">
        <v>18</v>
      </c>
      <c r="F4693" t="str">
        <f>HYPERLINK("http://www.sec.gov/Archives/edgar/data/722077/0001047469-16-010988-index.html")</f>
        <v>http://www.sec.gov/Archives/edgar/data/722077/0001047469-16-010988-index.html</v>
      </c>
    </row>
    <row r="4694" spans="1:6" x14ac:dyDescent="0.2">
      <c r="A4694" t="s">
        <v>4239</v>
      </c>
      <c r="B4694" s="1">
        <v>739421</v>
      </c>
      <c r="C4694" s="1">
        <v>6022</v>
      </c>
      <c r="D4694" s="2">
        <v>42439</v>
      </c>
      <c r="E4694" s="1" t="s">
        <v>18</v>
      </c>
      <c r="F4694" t="str">
        <f>HYPERLINK("http://www.sec.gov/Archives/edgar/data/739421/0000739421-16-000097-index.html")</f>
        <v>http://www.sec.gov/Archives/edgar/data/739421/0000739421-16-000097-index.html</v>
      </c>
    </row>
    <row r="4695" spans="1:6" x14ac:dyDescent="0.2">
      <c r="A4695" t="s">
        <v>4240</v>
      </c>
      <c r="B4695" s="1">
        <v>750574</v>
      </c>
      <c r="C4695" s="1">
        <v>6022</v>
      </c>
      <c r="D4695" s="2">
        <v>42439</v>
      </c>
      <c r="E4695" s="1" t="s">
        <v>18</v>
      </c>
      <c r="F4695" t="str">
        <f>HYPERLINK("http://www.sec.gov/Archives/edgar/data/750574/0001193125-16-500266-index.html")</f>
        <v>http://www.sec.gov/Archives/edgar/data/750574/0001193125-16-500266-index.html</v>
      </c>
    </row>
    <row r="4696" spans="1:6" x14ac:dyDescent="0.2">
      <c r="A4696" t="s">
        <v>4241</v>
      </c>
      <c r="B4696" s="1">
        <v>777917</v>
      </c>
      <c r="C4696" s="1">
        <v>6311</v>
      </c>
      <c r="D4696" s="2">
        <v>42439</v>
      </c>
      <c r="E4696" s="1" t="s">
        <v>18</v>
      </c>
      <c r="F4696" t="str">
        <f>HYPERLINK("http://www.sec.gov/Archives/edgar/data/777917/0000777917-16-000315-index.html")</f>
        <v>http://www.sec.gov/Archives/edgar/data/777917/0000777917-16-000315-index.html</v>
      </c>
    </row>
    <row r="4697" spans="1:6" x14ac:dyDescent="0.2">
      <c r="A4697" t="s">
        <v>4242</v>
      </c>
      <c r="B4697" s="1">
        <v>793524</v>
      </c>
      <c r="C4697" s="1">
        <v>6794</v>
      </c>
      <c r="D4697" s="2">
        <v>42439</v>
      </c>
      <c r="E4697" s="1" t="s">
        <v>18</v>
      </c>
      <c r="F4697" t="str">
        <f>HYPERLINK("http://www.sec.gov/Archives/edgar/data/793524/0001206774-16-004855-index.html")</f>
        <v>http://www.sec.gov/Archives/edgar/data/793524/0001206774-16-004855-index.html</v>
      </c>
    </row>
    <row r="4698" spans="1:6" x14ac:dyDescent="0.2">
      <c r="A4698" t="s">
        <v>4243</v>
      </c>
      <c r="B4698" s="1">
        <v>801348</v>
      </c>
      <c r="C4698" s="1">
        <v>6500</v>
      </c>
      <c r="D4698" s="2">
        <v>42439</v>
      </c>
      <c r="E4698" s="1" t="s">
        <v>18</v>
      </c>
      <c r="F4698" t="str">
        <f>HYPERLINK("http://www.sec.gov/Archives/edgar/data/801348/0001628280-16-012579-index.html")</f>
        <v>http://www.sec.gov/Archives/edgar/data/801348/0001628280-16-012579-index.html</v>
      </c>
    </row>
    <row r="4699" spans="1:6" x14ac:dyDescent="0.2">
      <c r="A4699" t="s">
        <v>4244</v>
      </c>
      <c r="B4699" s="1">
        <v>817135</v>
      </c>
      <c r="C4699" s="1">
        <v>8071</v>
      </c>
      <c r="D4699" s="2">
        <v>42439</v>
      </c>
      <c r="E4699" s="1" t="s">
        <v>18</v>
      </c>
      <c r="F4699" t="str">
        <f>HYPERLINK("http://www.sec.gov/Archives/edgar/data/817135/0001564590-16-014445-index.html")</f>
        <v>http://www.sec.gov/Archives/edgar/data/817135/0001564590-16-014445-index.html</v>
      </c>
    </row>
    <row r="4700" spans="1:6" x14ac:dyDescent="0.2">
      <c r="A4700" t="s">
        <v>4245</v>
      </c>
      <c r="B4700" s="1">
        <v>81955</v>
      </c>
      <c r="C4700" s="1">
        <v>2834</v>
      </c>
      <c r="D4700" s="2">
        <v>42439</v>
      </c>
      <c r="E4700" s="1" t="s">
        <v>18</v>
      </c>
      <c r="F4700" t="str">
        <f>HYPERLINK("http://www.sec.gov/Archives/edgar/data/81955/0001193125-16-500139-index.html")</f>
        <v>http://www.sec.gov/Archives/edgar/data/81955/0001193125-16-500139-index.html</v>
      </c>
    </row>
    <row r="4701" spans="1:6" x14ac:dyDescent="0.2">
      <c r="A4701" t="s">
        <v>4246</v>
      </c>
      <c r="B4701" s="1">
        <v>819689</v>
      </c>
      <c r="C4701" s="1">
        <v>3845</v>
      </c>
      <c r="D4701" s="2">
        <v>42439</v>
      </c>
      <c r="E4701" s="1" t="s">
        <v>18</v>
      </c>
      <c r="F4701" t="str">
        <f>HYPERLINK("http://www.sec.gov/Archives/edgar/data/819689/0000819689-16-000096-index.html")</f>
        <v>http://www.sec.gov/Archives/edgar/data/819689/0000819689-16-000096-index.html</v>
      </c>
    </row>
    <row r="4702" spans="1:6" x14ac:dyDescent="0.2">
      <c r="A4702" t="s">
        <v>4247</v>
      </c>
      <c r="B4702" s="1">
        <v>819913</v>
      </c>
      <c r="C4702" s="1">
        <v>6399</v>
      </c>
      <c r="D4702" s="2">
        <v>42439</v>
      </c>
      <c r="E4702" s="1" t="s">
        <v>18</v>
      </c>
      <c r="F4702" t="str">
        <f>HYPERLINK("http://www.sec.gov/Archives/edgar/data/819913/0001144204-16-087223-index.html")</f>
        <v>http://www.sec.gov/Archives/edgar/data/819913/0001144204-16-087223-index.html</v>
      </c>
    </row>
    <row r="4703" spans="1:6" x14ac:dyDescent="0.2">
      <c r="A4703" t="s">
        <v>405</v>
      </c>
      <c r="B4703" s="1">
        <v>821995</v>
      </c>
      <c r="C4703" s="1">
        <v>2834</v>
      </c>
      <c r="D4703" s="2">
        <v>42439</v>
      </c>
      <c r="E4703" s="1" t="s">
        <v>18</v>
      </c>
      <c r="F4703" t="str">
        <f>HYPERLINK("http://www.sec.gov/Archives/edgar/data/821995/0001193125-16-500029-index.html")</f>
        <v>http://www.sec.gov/Archives/edgar/data/821995/0001193125-16-500029-index.html</v>
      </c>
    </row>
    <row r="4704" spans="1:6" x14ac:dyDescent="0.2">
      <c r="A4704" t="s">
        <v>4248</v>
      </c>
      <c r="B4704" s="1">
        <v>829114</v>
      </c>
      <c r="C4704" s="1">
        <v>6500</v>
      </c>
      <c r="D4704" s="2">
        <v>42439</v>
      </c>
      <c r="E4704" s="1" t="s">
        <v>18</v>
      </c>
      <c r="F4704" t="str">
        <f>HYPERLINK("http://www.sec.gov/Archives/edgar/data/829114/0001628280-16-012573-index.html")</f>
        <v>http://www.sec.gov/Archives/edgar/data/829114/0001628280-16-012573-index.html</v>
      </c>
    </row>
    <row r="4705" spans="1:6" x14ac:dyDescent="0.2">
      <c r="A4705" t="s">
        <v>3496</v>
      </c>
      <c r="B4705" s="1">
        <v>835011</v>
      </c>
      <c r="C4705" s="1">
        <v>5180</v>
      </c>
      <c r="D4705" s="2">
        <v>42439</v>
      </c>
      <c r="E4705" s="1" t="s">
        <v>18</v>
      </c>
      <c r="F4705" t="str">
        <f>HYPERLINK("http://www.sec.gov/Archives/edgar/data/835011/0001628280-16-012542-index.html")</f>
        <v>http://www.sec.gov/Archives/edgar/data/835011/0001628280-16-012542-index.html</v>
      </c>
    </row>
    <row r="4706" spans="1:6" x14ac:dyDescent="0.2">
      <c r="A4706" t="s">
        <v>4249</v>
      </c>
      <c r="B4706" s="1">
        <v>838875</v>
      </c>
      <c r="C4706" s="1">
        <v>2080</v>
      </c>
      <c r="D4706" s="2">
        <v>42439</v>
      </c>
      <c r="E4706" s="1" t="s">
        <v>18</v>
      </c>
      <c r="F4706" t="str">
        <f>HYPERLINK("http://www.sec.gov/Archives/edgar/data/838875/0001199835-16-000651-index.html")</f>
        <v>http://www.sec.gov/Archives/edgar/data/838875/0001199835-16-000651-index.html</v>
      </c>
    </row>
    <row r="4707" spans="1:6" x14ac:dyDescent="0.2">
      <c r="A4707" t="s">
        <v>4250</v>
      </c>
      <c r="B4707" s="1">
        <v>843368</v>
      </c>
      <c r="C4707" s="1">
        <v>4841</v>
      </c>
      <c r="D4707" s="2">
        <v>42439</v>
      </c>
      <c r="E4707" s="1" t="s">
        <v>18</v>
      </c>
      <c r="F4707" t="str">
        <f>HYPERLINK("http://www.sec.gov/Archives/edgar/data/843368/0001437749-16-027312-index.html")</f>
        <v>http://www.sec.gov/Archives/edgar/data/843368/0001437749-16-027312-index.html</v>
      </c>
    </row>
    <row r="4708" spans="1:6" x14ac:dyDescent="0.2">
      <c r="A4708" t="s">
        <v>4251</v>
      </c>
      <c r="B4708" s="1">
        <v>845877</v>
      </c>
      <c r="C4708" s="1">
        <v>6111</v>
      </c>
      <c r="D4708" s="2">
        <v>42439</v>
      </c>
      <c r="E4708" s="1" t="s">
        <v>18</v>
      </c>
      <c r="F4708" t="str">
        <f>HYPERLINK("http://www.sec.gov/Archives/edgar/data/845877/0000845877-16-000187-index.html")</f>
        <v>http://www.sec.gov/Archives/edgar/data/845877/0000845877-16-000187-index.html</v>
      </c>
    </row>
    <row r="4709" spans="1:6" x14ac:dyDescent="0.2">
      <c r="A4709" t="s">
        <v>4252</v>
      </c>
      <c r="B4709" s="1">
        <v>846581</v>
      </c>
      <c r="C4709" s="1">
        <v>6500</v>
      </c>
      <c r="D4709" s="2">
        <v>42439</v>
      </c>
      <c r="E4709" s="1" t="s">
        <v>18</v>
      </c>
      <c r="F4709" t="str">
        <f>HYPERLINK("http://www.sec.gov/Archives/edgar/data/846581/0001628280-16-012580-index.html")</f>
        <v>http://www.sec.gov/Archives/edgar/data/846581/0001628280-16-012580-index.html</v>
      </c>
    </row>
    <row r="4710" spans="1:6" x14ac:dyDescent="0.2">
      <c r="A4710" t="s">
        <v>4253</v>
      </c>
      <c r="B4710" s="1">
        <v>849706</v>
      </c>
      <c r="C4710" s="1">
        <v>2430</v>
      </c>
      <c r="D4710" s="2">
        <v>42439</v>
      </c>
      <c r="E4710" s="1" t="s">
        <v>18</v>
      </c>
      <c r="F4710" t="str">
        <f>HYPERLINK("http://www.sec.gov/Archives/edgar/data/849706/0001171843-16-008493-index.html")</f>
        <v>http://www.sec.gov/Archives/edgar/data/849706/0001171843-16-008493-index.html</v>
      </c>
    </row>
    <row r="4711" spans="1:6" x14ac:dyDescent="0.2">
      <c r="A4711" t="s">
        <v>4254</v>
      </c>
      <c r="B4711" s="1">
        <v>855612</v>
      </c>
      <c r="C4711" s="1">
        <v>7374</v>
      </c>
      <c r="D4711" s="2">
        <v>42439</v>
      </c>
      <c r="E4711" s="1" t="s">
        <v>18</v>
      </c>
      <c r="F4711" t="str">
        <f>HYPERLINK("http://www.sec.gov/Archives/edgar/data/855612/0001564590-16-014407-index.html")</f>
        <v>http://www.sec.gov/Archives/edgar/data/855612/0001564590-16-014407-index.html</v>
      </c>
    </row>
    <row r="4712" spans="1:6" x14ac:dyDescent="0.2">
      <c r="A4712" t="s">
        <v>4255</v>
      </c>
      <c r="B4712" s="1">
        <v>855874</v>
      </c>
      <c r="C4712" s="1">
        <v>6022</v>
      </c>
      <c r="D4712" s="2">
        <v>42439</v>
      </c>
      <c r="E4712" s="1" t="s">
        <v>18</v>
      </c>
      <c r="F4712" t="str">
        <f>HYPERLINK("http://www.sec.gov/Archives/edgar/data/855874/0001144204-16-087252-index.html")</f>
        <v>http://www.sec.gov/Archives/edgar/data/855874/0001144204-16-087252-index.html</v>
      </c>
    </row>
    <row r="4713" spans="1:6" x14ac:dyDescent="0.2">
      <c r="A4713" t="s">
        <v>4256</v>
      </c>
      <c r="B4713" s="1">
        <v>861838</v>
      </c>
      <c r="C4713" s="1">
        <v>2836</v>
      </c>
      <c r="D4713" s="2">
        <v>42439</v>
      </c>
      <c r="E4713" s="1" t="s">
        <v>18</v>
      </c>
      <c r="F4713" t="str">
        <f>HYPERLINK("http://www.sec.gov/Archives/edgar/data/861838/0001193125-16-499113-index.html")</f>
        <v>http://www.sec.gov/Archives/edgar/data/861838/0001193125-16-499113-index.html</v>
      </c>
    </row>
    <row r="4714" spans="1:6" x14ac:dyDescent="0.2">
      <c r="A4714" t="s">
        <v>4257</v>
      </c>
      <c r="B4714" s="1">
        <v>881453</v>
      </c>
      <c r="C4714" s="1">
        <v>6399</v>
      </c>
      <c r="D4714" s="2">
        <v>42439</v>
      </c>
      <c r="E4714" s="1" t="s">
        <v>18</v>
      </c>
      <c r="F4714" t="str">
        <f>HYPERLINK("http://www.sec.gov/Archives/edgar/data/881453/0000881453-16-000010-index.html")</f>
        <v>http://www.sec.gov/Archives/edgar/data/881453/0000881453-16-000010-index.html</v>
      </c>
    </row>
    <row r="4715" spans="1:6" x14ac:dyDescent="0.2">
      <c r="A4715" t="s">
        <v>4258</v>
      </c>
      <c r="B4715" s="1">
        <v>886744</v>
      </c>
      <c r="C4715" s="1">
        <v>2834</v>
      </c>
      <c r="D4715" s="2">
        <v>42439</v>
      </c>
      <c r="E4715" s="1" t="s">
        <v>18</v>
      </c>
      <c r="F4715" t="str">
        <f>HYPERLINK("http://www.sec.gov/Archives/edgar/data/886744/0001047469-16-010984-index.html")</f>
        <v>http://www.sec.gov/Archives/edgar/data/886744/0001047469-16-010984-index.html</v>
      </c>
    </row>
    <row r="4716" spans="1:6" x14ac:dyDescent="0.2">
      <c r="A4716" t="s">
        <v>4259</v>
      </c>
      <c r="B4716" s="1">
        <v>890066</v>
      </c>
      <c r="C4716" s="1">
        <v>6022</v>
      </c>
      <c r="D4716" s="2">
        <v>42439</v>
      </c>
      <c r="E4716" s="1" t="s">
        <v>18</v>
      </c>
      <c r="F4716" t="str">
        <f>HYPERLINK("http://www.sec.gov/Archives/edgar/data/890066/0001571049-16-012875-index.html")</f>
        <v>http://www.sec.gov/Archives/edgar/data/890066/0001571049-16-012875-index.html</v>
      </c>
    </row>
    <row r="4717" spans="1:6" x14ac:dyDescent="0.2">
      <c r="A4717" t="s">
        <v>4260</v>
      </c>
      <c r="B4717" s="1">
        <v>894158</v>
      </c>
      <c r="C4717" s="1">
        <v>2834</v>
      </c>
      <c r="D4717" s="2">
        <v>42439</v>
      </c>
      <c r="E4717" s="1" t="s">
        <v>18</v>
      </c>
      <c r="F4717" t="str">
        <f>HYPERLINK("http://www.sec.gov/Archives/edgar/data/894158/0001144204-16-087267-index.html")</f>
        <v>http://www.sec.gov/Archives/edgar/data/894158/0001144204-16-087267-index.html</v>
      </c>
    </row>
    <row r="4718" spans="1:6" x14ac:dyDescent="0.2">
      <c r="A4718" t="s">
        <v>4261</v>
      </c>
      <c r="B4718" s="1">
        <v>896262</v>
      </c>
      <c r="C4718" s="1">
        <v>8082</v>
      </c>
      <c r="D4718" s="2">
        <v>42439</v>
      </c>
      <c r="E4718" s="1" t="s">
        <v>18</v>
      </c>
      <c r="F4718" t="str">
        <f>HYPERLINK("http://www.sec.gov/Archives/edgar/data/896262/0001193125-16-498856-index.html")</f>
        <v>http://www.sec.gov/Archives/edgar/data/896262/0001193125-16-498856-index.html</v>
      </c>
    </row>
    <row r="4719" spans="1:6" x14ac:dyDescent="0.2">
      <c r="A4719" t="s">
        <v>4262</v>
      </c>
      <c r="B4719" s="1">
        <v>898437</v>
      </c>
      <c r="C4719" s="1">
        <v>3841</v>
      </c>
      <c r="D4719" s="2">
        <v>42439</v>
      </c>
      <c r="E4719" s="1" t="s">
        <v>18</v>
      </c>
      <c r="F4719" t="str">
        <f>HYPERLINK("http://www.sec.gov/Archives/edgar/data/898437/0001171843-16-008487-index.html")</f>
        <v>http://www.sec.gov/Archives/edgar/data/898437/0001171843-16-008487-index.html</v>
      </c>
    </row>
    <row r="4720" spans="1:6" x14ac:dyDescent="0.2">
      <c r="A4720" t="s">
        <v>4263</v>
      </c>
      <c r="B4720" s="1">
        <v>906780</v>
      </c>
      <c r="C4720" s="1">
        <v>5810</v>
      </c>
      <c r="D4720" s="2">
        <v>42439</v>
      </c>
      <c r="E4720" s="1" t="s">
        <v>18</v>
      </c>
      <c r="F4720" t="str">
        <f>HYPERLINK("http://www.sec.gov/Archives/edgar/data/906780/0000906780-16-000020-index.html")</f>
        <v>http://www.sec.gov/Archives/edgar/data/906780/0000906780-16-000020-index.html</v>
      </c>
    </row>
    <row r="4721" spans="1:6" x14ac:dyDescent="0.2">
      <c r="A4721" t="s">
        <v>4264</v>
      </c>
      <c r="B4721" s="1">
        <v>917523</v>
      </c>
      <c r="C4721" s="1">
        <v>3640</v>
      </c>
      <c r="D4721" s="2">
        <v>42439</v>
      </c>
      <c r="E4721" s="1" t="s">
        <v>18</v>
      </c>
      <c r="F4721" t="str">
        <f>HYPERLINK("http://www.sec.gov/Archives/edgar/data/917523/0001193125-16-499179-index.html")</f>
        <v>http://www.sec.gov/Archives/edgar/data/917523/0001193125-16-499179-index.html</v>
      </c>
    </row>
    <row r="4722" spans="1:6" x14ac:dyDescent="0.2">
      <c r="A4722" t="s">
        <v>1677</v>
      </c>
      <c r="B4722" s="1">
        <v>924168</v>
      </c>
      <c r="C4722" s="1">
        <v>3640</v>
      </c>
      <c r="D4722" s="2">
        <v>42439</v>
      </c>
      <c r="E4722" s="1" t="s">
        <v>18</v>
      </c>
      <c r="F4722" t="str">
        <f>HYPERLINK("http://www.sec.gov/Archives/edgar/data/924168/0000924168-16-000015-index.html")</f>
        <v>http://www.sec.gov/Archives/edgar/data/924168/0000924168-16-000015-index.html</v>
      </c>
    </row>
    <row r="4723" spans="1:6" x14ac:dyDescent="0.2">
      <c r="A4723" t="s">
        <v>4265</v>
      </c>
      <c r="B4723" s="1">
        <v>943034</v>
      </c>
      <c r="C4723" s="1">
        <v>3829</v>
      </c>
      <c r="D4723" s="2">
        <v>42439</v>
      </c>
      <c r="E4723" s="1" t="s">
        <v>18</v>
      </c>
      <c r="F4723" t="str">
        <f>HYPERLINK("http://www.sec.gov/Archives/edgar/data/943034/0000897101-16-001983-index.html")</f>
        <v>http://www.sec.gov/Archives/edgar/data/943034/0000897101-16-001983-index.html</v>
      </c>
    </row>
    <row r="4724" spans="1:6" x14ac:dyDescent="0.2">
      <c r="A4724" t="s">
        <v>4266</v>
      </c>
      <c r="B4724" s="1">
        <v>944508</v>
      </c>
      <c r="C4724" s="1">
        <v>2090</v>
      </c>
      <c r="D4724" s="2">
        <v>42439</v>
      </c>
      <c r="E4724" s="1" t="s">
        <v>18</v>
      </c>
      <c r="F4724" t="str">
        <f>HYPERLINK("http://www.sec.gov/Archives/edgar/data/944508/0001104659-16-104169-index.html")</f>
        <v>http://www.sec.gov/Archives/edgar/data/944508/0001104659-16-104169-index.html</v>
      </c>
    </row>
    <row r="4725" spans="1:6" x14ac:dyDescent="0.2">
      <c r="A4725" t="s">
        <v>4267</v>
      </c>
      <c r="B4725" s="1">
        <v>946155</v>
      </c>
      <c r="C4725" s="1">
        <v>6500</v>
      </c>
      <c r="D4725" s="2">
        <v>42439</v>
      </c>
      <c r="E4725" s="1" t="s">
        <v>18</v>
      </c>
      <c r="F4725" t="str">
        <f>HYPERLINK("http://www.sec.gov/Archives/edgar/data/946155/0000930413-16-005969-index.html")</f>
        <v>http://www.sec.gov/Archives/edgar/data/946155/0000930413-16-005969-index.html</v>
      </c>
    </row>
    <row r="4726" spans="1:6" x14ac:dyDescent="0.2">
      <c r="A4726" t="s">
        <v>4268</v>
      </c>
      <c r="B4726" s="1">
        <v>1017491</v>
      </c>
      <c r="C4726" s="1">
        <v>2834</v>
      </c>
      <c r="D4726" s="2">
        <v>42438</v>
      </c>
      <c r="E4726" s="1" t="s">
        <v>18</v>
      </c>
      <c r="F4726" t="str">
        <f>HYPERLINK("http://www.sec.gov/Archives/edgar/data/1017491/0001017491-16-000112-index.html")</f>
        <v>http://www.sec.gov/Archives/edgar/data/1017491/0001017491-16-000112-index.html</v>
      </c>
    </row>
    <row r="4727" spans="1:6" x14ac:dyDescent="0.2">
      <c r="A4727" t="s">
        <v>4269</v>
      </c>
      <c r="B4727" s="1">
        <v>1020214</v>
      </c>
      <c r="C4727" s="1">
        <v>3841</v>
      </c>
      <c r="D4727" s="2">
        <v>42438</v>
      </c>
      <c r="E4727" s="1" t="s">
        <v>18</v>
      </c>
      <c r="F4727" t="str">
        <f>HYPERLINK("http://www.sec.gov/Archives/edgar/data/1020214/0001193125-16-498617-index.html")</f>
        <v>http://www.sec.gov/Archives/edgar/data/1020214/0001193125-16-498617-index.html</v>
      </c>
    </row>
    <row r="4728" spans="1:6" x14ac:dyDescent="0.2">
      <c r="A4728" t="s">
        <v>4270</v>
      </c>
      <c r="B4728" s="1">
        <v>1040161</v>
      </c>
      <c r="C4728" s="1">
        <v>3674</v>
      </c>
      <c r="D4728" s="2">
        <v>42438</v>
      </c>
      <c r="E4728" s="1" t="s">
        <v>18</v>
      </c>
      <c r="F4728" t="str">
        <f>HYPERLINK("http://www.sec.gov/Archives/edgar/data/1040161/0001040161-16-000051-index.html")</f>
        <v>http://www.sec.gov/Archives/edgar/data/1040161/0001040161-16-000051-index.html</v>
      </c>
    </row>
    <row r="4729" spans="1:6" x14ac:dyDescent="0.2">
      <c r="A4729" t="s">
        <v>4271</v>
      </c>
      <c r="B4729" s="1">
        <v>1041550</v>
      </c>
      <c r="C4729" s="1">
        <v>6022</v>
      </c>
      <c r="D4729" s="2">
        <v>42438</v>
      </c>
      <c r="E4729" s="1" t="s">
        <v>18</v>
      </c>
      <c r="F4729" t="str">
        <f>HYPERLINK("http://www.sec.gov/Archives/edgar/data/1041550/0001193125-16-498379-index.html")</f>
        <v>http://www.sec.gov/Archives/edgar/data/1041550/0001193125-16-498379-index.html</v>
      </c>
    </row>
    <row r="4730" spans="1:6" x14ac:dyDescent="0.2">
      <c r="A4730" t="s">
        <v>4272</v>
      </c>
      <c r="B4730" s="1">
        <v>1053650</v>
      </c>
      <c r="C4730" s="1">
        <v>2070</v>
      </c>
      <c r="D4730" s="2">
        <v>42438</v>
      </c>
      <c r="E4730" s="1" t="s">
        <v>18</v>
      </c>
      <c r="F4730" t="str">
        <f>HYPERLINK("http://www.sec.gov/Archives/edgar/data/1053650/0001437749-16-027158-index.html")</f>
        <v>http://www.sec.gov/Archives/edgar/data/1053650/0001437749-16-027158-index.html</v>
      </c>
    </row>
    <row r="4731" spans="1:6" x14ac:dyDescent="0.2">
      <c r="A4731" t="s">
        <v>4273</v>
      </c>
      <c r="B4731" s="1">
        <v>1055454</v>
      </c>
      <c r="C4731" s="1">
        <v>5000</v>
      </c>
      <c r="D4731" s="2">
        <v>42438</v>
      </c>
      <c r="E4731" s="1" t="s">
        <v>21</v>
      </c>
      <c r="F4731" t="str">
        <f>HYPERLINK("http://www.sec.gov/Archives/edgar/data/1055454/0001193125-16-498302-index.html")</f>
        <v>http://www.sec.gov/Archives/edgar/data/1055454/0001193125-16-498302-index.html</v>
      </c>
    </row>
    <row r="4732" spans="1:6" x14ac:dyDescent="0.2">
      <c r="A4732" t="s">
        <v>4274</v>
      </c>
      <c r="B4732" s="1">
        <v>1064116</v>
      </c>
      <c r="C4732" s="1">
        <v>4841</v>
      </c>
      <c r="D4732" s="2">
        <v>42438</v>
      </c>
      <c r="E4732" s="1" t="s">
        <v>18</v>
      </c>
      <c r="F4732" t="str">
        <f>HYPERLINK("http://www.sec.gov/Archives/edgar/data/1064116/0001564590-16-014283-index.html")</f>
        <v>http://www.sec.gov/Archives/edgar/data/1064116/0001564590-16-014283-index.html</v>
      </c>
    </row>
    <row r="4733" spans="1:6" x14ac:dyDescent="0.2">
      <c r="A4733" t="s">
        <v>4275</v>
      </c>
      <c r="B4733" s="1">
        <v>1064117</v>
      </c>
      <c r="C4733" s="1">
        <v>4841</v>
      </c>
      <c r="D4733" s="2">
        <v>42438</v>
      </c>
      <c r="E4733" s="1" t="s">
        <v>18</v>
      </c>
      <c r="F4733" t="str">
        <f>HYPERLINK("http://www.sec.gov/Archives/edgar/data/1064117/0001564590-16-014283-index.html")</f>
        <v>http://www.sec.gov/Archives/edgar/data/1064117/0001564590-16-014283-index.html</v>
      </c>
    </row>
    <row r="4734" spans="1:6" x14ac:dyDescent="0.2">
      <c r="A4734" t="s">
        <v>4276</v>
      </c>
      <c r="B4734" s="1">
        <v>1074902</v>
      </c>
      <c r="C4734" s="1">
        <v>6021</v>
      </c>
      <c r="D4734" s="2">
        <v>42438</v>
      </c>
      <c r="E4734" s="1" t="s">
        <v>18</v>
      </c>
      <c r="F4734" t="str">
        <f>HYPERLINK("http://www.sec.gov/Archives/edgar/data/1074902/0001074902-16-000046-index.html")</f>
        <v>http://www.sec.gov/Archives/edgar/data/1074902/0001074902-16-000046-index.html</v>
      </c>
    </row>
    <row r="4735" spans="1:6" x14ac:dyDescent="0.2">
      <c r="A4735" t="s">
        <v>4277</v>
      </c>
      <c r="B4735" s="1">
        <v>1080056</v>
      </c>
      <c r="C4735" s="1">
        <v>2711</v>
      </c>
      <c r="D4735" s="2">
        <v>42438</v>
      </c>
      <c r="E4735" s="1" t="s">
        <v>18</v>
      </c>
      <c r="F4735" t="str">
        <f>HYPERLINK("http://www.sec.gov/Archives/edgar/data/1080056/0001615774-16-004428-index.html")</f>
        <v>http://www.sec.gov/Archives/edgar/data/1080056/0001615774-16-004428-index.html</v>
      </c>
    </row>
    <row r="4736" spans="1:6" x14ac:dyDescent="0.2">
      <c r="A4736" t="s">
        <v>4278</v>
      </c>
      <c r="B4736" s="1">
        <v>1083243</v>
      </c>
      <c r="C4736" s="1">
        <v>7310</v>
      </c>
      <c r="D4736" s="2">
        <v>42438</v>
      </c>
      <c r="E4736" s="1" t="s">
        <v>18</v>
      </c>
      <c r="F4736" t="str">
        <f>HYPERLINK("http://www.sec.gov/Archives/edgar/data/1083243/0001083243-16-000016-index.html")</f>
        <v>http://www.sec.gov/Archives/edgar/data/1083243/0001083243-16-000016-index.html</v>
      </c>
    </row>
    <row r="4737" spans="1:6" x14ac:dyDescent="0.2">
      <c r="A4737" t="s">
        <v>4279</v>
      </c>
      <c r="B4737" s="1">
        <v>1087456</v>
      </c>
      <c r="C4737" s="1">
        <v>6021</v>
      </c>
      <c r="D4737" s="2">
        <v>42438</v>
      </c>
      <c r="E4737" s="1" t="s">
        <v>18</v>
      </c>
      <c r="F4737" t="str">
        <f>HYPERLINK("http://www.sec.gov/Archives/edgar/data/1087456/0001144204-16-086901-index.html")</f>
        <v>http://www.sec.gov/Archives/edgar/data/1087456/0001144204-16-086901-index.html</v>
      </c>
    </row>
    <row r="4738" spans="1:6" x14ac:dyDescent="0.2">
      <c r="A4738" t="s">
        <v>4280</v>
      </c>
      <c r="B4738" s="1">
        <v>1095651</v>
      </c>
      <c r="C4738" s="1">
        <v>6798</v>
      </c>
      <c r="D4738" s="2">
        <v>42438</v>
      </c>
      <c r="E4738" s="1" t="s">
        <v>42</v>
      </c>
      <c r="F4738" t="str">
        <f>HYPERLINK("http://www.sec.gov/Archives/edgar/data/1095651/0001095651-16-000039-index.html")</f>
        <v>http://www.sec.gov/Archives/edgar/data/1095651/0001095651-16-000039-index.html</v>
      </c>
    </row>
    <row r="4739" spans="1:6" x14ac:dyDescent="0.2">
      <c r="A4739" t="s">
        <v>4281</v>
      </c>
      <c r="B4739" s="1">
        <v>1109116</v>
      </c>
      <c r="C4739" s="1">
        <v>4833</v>
      </c>
      <c r="D4739" s="2">
        <v>42438</v>
      </c>
      <c r="E4739" s="1" t="s">
        <v>18</v>
      </c>
      <c r="F4739" t="str">
        <f>HYPERLINK("http://www.sec.gov/Archives/edgar/data/1109116/0001564590-16-014316-index.html")</f>
        <v>http://www.sec.gov/Archives/edgar/data/1109116/0001564590-16-014316-index.html</v>
      </c>
    </row>
    <row r="4740" spans="1:6" x14ac:dyDescent="0.2">
      <c r="A4740" t="s">
        <v>4282</v>
      </c>
      <c r="B4740" s="1">
        <v>1124105</v>
      </c>
      <c r="C4740" s="1">
        <v>2834</v>
      </c>
      <c r="D4740" s="2">
        <v>42438</v>
      </c>
      <c r="E4740" s="1" t="s">
        <v>18</v>
      </c>
      <c r="F4740" t="str">
        <f>HYPERLINK("http://www.sec.gov/Archives/edgar/data/1124105/0001193125-16-498295-index.html")</f>
        <v>http://www.sec.gov/Archives/edgar/data/1124105/0001193125-16-498295-index.html</v>
      </c>
    </row>
    <row r="4741" spans="1:6" x14ac:dyDescent="0.2">
      <c r="A4741" t="s">
        <v>4283</v>
      </c>
      <c r="B4741" s="1">
        <v>1129542</v>
      </c>
      <c r="C4741" s="1">
        <v>4932</v>
      </c>
      <c r="D4741" s="2">
        <v>42438</v>
      </c>
      <c r="E4741" s="1" t="s">
        <v>18</v>
      </c>
      <c r="F4741" t="str">
        <f>HYPERLINK("http://www.sec.gov/Archives/edgar/data/1129542/0001129542-16-000024-index.html")</f>
        <v>http://www.sec.gov/Archives/edgar/data/1129542/0001129542-16-000024-index.html</v>
      </c>
    </row>
    <row r="4742" spans="1:6" x14ac:dyDescent="0.2">
      <c r="A4742" t="s">
        <v>4284</v>
      </c>
      <c r="B4742" s="1">
        <v>1131324</v>
      </c>
      <c r="C4742" s="1">
        <v>8071</v>
      </c>
      <c r="D4742" s="2">
        <v>42438</v>
      </c>
      <c r="E4742" s="1" t="s">
        <v>18</v>
      </c>
      <c r="F4742" t="str">
        <f>HYPERLINK("http://www.sec.gov/Archives/edgar/data/1131324/0001558370-16-003944-index.html")</f>
        <v>http://www.sec.gov/Archives/edgar/data/1131324/0001558370-16-003944-index.html</v>
      </c>
    </row>
    <row r="4743" spans="1:6" x14ac:dyDescent="0.2">
      <c r="A4743" t="s">
        <v>4285</v>
      </c>
      <c r="B4743" s="1">
        <v>1137883</v>
      </c>
      <c r="C4743" s="1">
        <v>2836</v>
      </c>
      <c r="D4743" s="2">
        <v>42438</v>
      </c>
      <c r="E4743" s="1" t="s">
        <v>18</v>
      </c>
      <c r="F4743" t="str">
        <f>HYPERLINK("http://www.sec.gov/Archives/edgar/data/1137883/0001144204-16-086932-index.html")</f>
        <v>http://www.sec.gov/Archives/edgar/data/1137883/0001144204-16-086932-index.html</v>
      </c>
    </row>
    <row r="4744" spans="1:6" x14ac:dyDescent="0.2">
      <c r="A4744" t="s">
        <v>4286</v>
      </c>
      <c r="B4744" s="1">
        <v>1160791</v>
      </c>
      <c r="C4744" s="1">
        <v>1040</v>
      </c>
      <c r="D4744" s="2">
        <v>42438</v>
      </c>
      <c r="E4744" s="1" t="s">
        <v>18</v>
      </c>
      <c r="F4744" t="str">
        <f>HYPERLINK("http://www.sec.gov/Archives/edgar/data/1160791/0001558370-16-003907-index.html")</f>
        <v>http://www.sec.gov/Archives/edgar/data/1160791/0001558370-16-003907-index.html</v>
      </c>
    </row>
    <row r="4745" spans="1:6" x14ac:dyDescent="0.2">
      <c r="A4745" t="s">
        <v>4287</v>
      </c>
      <c r="B4745" s="1">
        <v>1161364</v>
      </c>
      <c r="C4745" s="1">
        <v>4841</v>
      </c>
      <c r="D4745" s="2">
        <v>42438</v>
      </c>
      <c r="E4745" s="1" t="s">
        <v>18</v>
      </c>
      <c r="F4745" t="str">
        <f>HYPERLINK("http://www.sec.gov/Archives/edgar/data/1161364/0001564590-16-014282-index.html")</f>
        <v>http://www.sec.gov/Archives/edgar/data/1161364/0001564590-16-014282-index.html</v>
      </c>
    </row>
    <row r="4746" spans="1:6" x14ac:dyDescent="0.2">
      <c r="A4746" t="s">
        <v>4288</v>
      </c>
      <c r="B4746" s="1">
        <v>1161366</v>
      </c>
      <c r="C4746" s="1">
        <v>4841</v>
      </c>
      <c r="D4746" s="2">
        <v>42438</v>
      </c>
      <c r="E4746" s="1" t="s">
        <v>18</v>
      </c>
      <c r="F4746" t="str">
        <f>HYPERLINK("http://www.sec.gov/Archives/edgar/data/1161366/0001564590-16-014282-index.html")</f>
        <v>http://www.sec.gov/Archives/edgar/data/1161366/0001564590-16-014282-index.html</v>
      </c>
    </row>
    <row r="4747" spans="1:6" x14ac:dyDescent="0.2">
      <c r="A4747" t="s">
        <v>4289</v>
      </c>
      <c r="B4747" s="1">
        <v>1175151</v>
      </c>
      <c r="C4747" s="1">
        <v>3841</v>
      </c>
      <c r="D4747" s="2">
        <v>42438</v>
      </c>
      <c r="E4747" s="1" t="s">
        <v>18</v>
      </c>
      <c r="F4747" t="str">
        <f>HYPERLINK("http://www.sec.gov/Archives/edgar/data/1175151/0001144204-16-086916-index.html")</f>
        <v>http://www.sec.gov/Archives/edgar/data/1175151/0001144204-16-086916-index.html</v>
      </c>
    </row>
    <row r="4748" spans="1:6" x14ac:dyDescent="0.2">
      <c r="A4748" t="s">
        <v>4290</v>
      </c>
      <c r="B4748" s="1">
        <v>1178711</v>
      </c>
      <c r="C4748" s="1">
        <v>2834</v>
      </c>
      <c r="D4748" s="2">
        <v>42438</v>
      </c>
      <c r="E4748" s="1" t="s">
        <v>18</v>
      </c>
      <c r="F4748" t="str">
        <f>HYPERLINK("http://www.sec.gov/Archives/edgar/data/1178711/0001564590-16-014314-index.html")</f>
        <v>http://www.sec.gov/Archives/edgar/data/1178711/0001564590-16-014314-index.html</v>
      </c>
    </row>
    <row r="4749" spans="1:6" x14ac:dyDescent="0.2">
      <c r="A4749" t="s">
        <v>4291</v>
      </c>
      <c r="B4749" s="1">
        <v>1179500</v>
      </c>
      <c r="C4749" s="1">
        <v>6022</v>
      </c>
      <c r="D4749" s="2">
        <v>42438</v>
      </c>
      <c r="E4749" s="1" t="s">
        <v>18</v>
      </c>
      <c r="F4749" t="str">
        <f>HYPERLINK("http://www.sec.gov/Archives/edgar/data/1179500/0001564590-16-014274-index.html")</f>
        <v>http://www.sec.gov/Archives/edgar/data/1179500/0001564590-16-014274-index.html</v>
      </c>
    </row>
    <row r="4750" spans="1:6" x14ac:dyDescent="0.2">
      <c r="A4750" t="s">
        <v>1030</v>
      </c>
      <c r="B4750" s="1">
        <v>1180079</v>
      </c>
      <c r="C4750" s="1">
        <v>3576</v>
      </c>
      <c r="D4750" s="2">
        <v>42438</v>
      </c>
      <c r="E4750" s="1" t="s">
        <v>18</v>
      </c>
      <c r="F4750" t="str">
        <f>HYPERLINK("http://www.sec.gov/Archives/edgar/data/1180079/0001564590-16-014307-index.html")</f>
        <v>http://www.sec.gov/Archives/edgar/data/1180079/0001564590-16-014307-index.html</v>
      </c>
    </row>
    <row r="4751" spans="1:6" x14ac:dyDescent="0.2">
      <c r="A4751" t="s">
        <v>4292</v>
      </c>
      <c r="B4751" s="1">
        <v>1261249</v>
      </c>
      <c r="C4751" s="1">
        <v>2834</v>
      </c>
      <c r="D4751" s="2">
        <v>42438</v>
      </c>
      <c r="E4751" s="1" t="s">
        <v>18</v>
      </c>
      <c r="F4751" t="str">
        <f>HYPERLINK("http://www.sec.gov/Archives/edgar/data/1261249/0001047469-16-010929-index.html")</f>
        <v>http://www.sec.gov/Archives/edgar/data/1261249/0001047469-16-010929-index.html</v>
      </c>
    </row>
    <row r="4752" spans="1:6" x14ac:dyDescent="0.2">
      <c r="A4752" t="s">
        <v>4293</v>
      </c>
      <c r="B4752" s="1">
        <v>1270436</v>
      </c>
      <c r="C4752" s="1">
        <v>6211</v>
      </c>
      <c r="D4752" s="2">
        <v>42438</v>
      </c>
      <c r="E4752" s="1" t="s">
        <v>18</v>
      </c>
      <c r="F4752" t="str">
        <f>HYPERLINK("http://www.sec.gov/Archives/edgar/data/1270436/0001270436-16-000019-index.html")</f>
        <v>http://www.sec.gov/Archives/edgar/data/1270436/0001270436-16-000019-index.html</v>
      </c>
    </row>
    <row r="4753" spans="1:6" x14ac:dyDescent="0.2">
      <c r="A4753" t="s">
        <v>4294</v>
      </c>
      <c r="B4753" s="1">
        <v>1275014</v>
      </c>
      <c r="C4753" s="1">
        <v>3674</v>
      </c>
      <c r="D4753" s="2">
        <v>42438</v>
      </c>
      <c r="E4753" s="1" t="s">
        <v>18</v>
      </c>
      <c r="F4753" t="str">
        <f>HYPERLINK("http://www.sec.gov/Archives/edgar/data/1275014/0001193125-16-498459-index.html")</f>
        <v>http://www.sec.gov/Archives/edgar/data/1275014/0001193125-16-498459-index.html</v>
      </c>
    </row>
    <row r="4754" spans="1:6" x14ac:dyDescent="0.2">
      <c r="A4754" t="s">
        <v>4295</v>
      </c>
      <c r="B4754" s="1">
        <v>1277902</v>
      </c>
      <c r="C4754" s="1">
        <v>6022</v>
      </c>
      <c r="D4754" s="2">
        <v>42438</v>
      </c>
      <c r="E4754" s="1" t="s">
        <v>18</v>
      </c>
      <c r="F4754" t="str">
        <f>HYPERLINK("http://www.sec.gov/Archives/edgar/data/1277902/0001558370-16-003920-index.html")</f>
        <v>http://www.sec.gov/Archives/edgar/data/1277902/0001558370-16-003920-index.html</v>
      </c>
    </row>
    <row r="4755" spans="1:6" x14ac:dyDescent="0.2">
      <c r="A4755" t="s">
        <v>4296</v>
      </c>
      <c r="B4755" s="1">
        <v>1279620</v>
      </c>
      <c r="C4755" s="1">
        <v>4899</v>
      </c>
      <c r="D4755" s="2">
        <v>42438</v>
      </c>
      <c r="E4755" s="1" t="s">
        <v>18</v>
      </c>
      <c r="F4755" t="str">
        <f>HYPERLINK("http://www.sec.gov/Archives/edgar/data/1279620/0001213900-16-011468-index.html")</f>
        <v>http://www.sec.gov/Archives/edgar/data/1279620/0001213900-16-011468-index.html</v>
      </c>
    </row>
    <row r="4756" spans="1:6" x14ac:dyDescent="0.2">
      <c r="A4756" t="s">
        <v>4297</v>
      </c>
      <c r="B4756" s="1">
        <v>1287213</v>
      </c>
      <c r="C4756" s="1">
        <v>3531</v>
      </c>
      <c r="D4756" s="2">
        <v>42438</v>
      </c>
      <c r="E4756" s="1" t="s">
        <v>18</v>
      </c>
      <c r="F4756" t="str">
        <f>HYPERLINK("http://www.sec.gov/Archives/edgar/data/1287213/0001558370-16-003908-index.html")</f>
        <v>http://www.sec.gov/Archives/edgar/data/1287213/0001558370-16-003908-index.html</v>
      </c>
    </row>
    <row r="4757" spans="1:6" x14ac:dyDescent="0.2">
      <c r="A4757" t="s">
        <v>4298</v>
      </c>
      <c r="B4757" s="1">
        <v>1288403</v>
      </c>
      <c r="C4757" s="1">
        <v>1311</v>
      </c>
      <c r="D4757" s="2">
        <v>42438</v>
      </c>
      <c r="E4757" s="1" t="s">
        <v>18</v>
      </c>
      <c r="F4757" t="str">
        <f>HYPERLINK("http://www.sec.gov/Archives/edgar/data/1288403/0001564590-16-014291-index.html")</f>
        <v>http://www.sec.gov/Archives/edgar/data/1288403/0001564590-16-014291-index.html</v>
      </c>
    </row>
    <row r="4758" spans="1:6" x14ac:dyDescent="0.2">
      <c r="A4758" t="s">
        <v>4299</v>
      </c>
      <c r="B4758" s="1">
        <v>1299139</v>
      </c>
      <c r="C4758" s="1">
        <v>3841</v>
      </c>
      <c r="D4758" s="2">
        <v>42438</v>
      </c>
      <c r="E4758" s="1" t="s">
        <v>18</v>
      </c>
      <c r="F4758" t="str">
        <f>HYPERLINK("http://www.sec.gov/Archives/edgar/data/1299139/0001493152-16-007932-index.html")</f>
        <v>http://www.sec.gov/Archives/edgar/data/1299139/0001493152-16-007932-index.html</v>
      </c>
    </row>
    <row r="4759" spans="1:6" x14ac:dyDescent="0.2">
      <c r="A4759" t="s">
        <v>4300</v>
      </c>
      <c r="B4759" s="1">
        <v>1315255</v>
      </c>
      <c r="C4759" s="1">
        <v>4813</v>
      </c>
      <c r="D4759" s="2">
        <v>42438</v>
      </c>
      <c r="E4759" s="1" t="s">
        <v>18</v>
      </c>
      <c r="F4759" t="str">
        <f>HYPERLINK("http://www.sec.gov/Archives/edgar/data/1315255/0001315255-16-000135-index.html")</f>
        <v>http://www.sec.gov/Archives/edgar/data/1315255/0001315255-16-000135-index.html</v>
      </c>
    </row>
    <row r="4760" spans="1:6" x14ac:dyDescent="0.2">
      <c r="A4760" t="s">
        <v>3987</v>
      </c>
      <c r="B4760" s="1">
        <v>1326003</v>
      </c>
      <c r="C4760" s="1">
        <v>4700</v>
      </c>
      <c r="D4760" s="2">
        <v>42438</v>
      </c>
      <c r="E4760" s="1" t="s">
        <v>18</v>
      </c>
      <c r="F4760" t="str">
        <f>HYPERLINK("http://www.sec.gov/Archives/edgar/data/1326003/0001193125-16-498490-index.html")</f>
        <v>http://www.sec.gov/Archives/edgar/data/1326003/0001193125-16-498490-index.html</v>
      </c>
    </row>
    <row r="4761" spans="1:6" x14ac:dyDescent="0.2">
      <c r="A4761" t="s">
        <v>4301</v>
      </c>
      <c r="B4761" s="1">
        <v>1331451</v>
      </c>
      <c r="C4761" s="1">
        <v>6111</v>
      </c>
      <c r="D4761" s="2">
        <v>42438</v>
      </c>
      <c r="E4761" s="1" t="s">
        <v>18</v>
      </c>
      <c r="F4761" t="str">
        <f>HYPERLINK("http://www.sec.gov/Archives/edgar/data/1331451/0001331451-16-000256-index.html")</f>
        <v>http://www.sec.gov/Archives/edgar/data/1331451/0001331451-16-000256-index.html</v>
      </c>
    </row>
    <row r="4762" spans="1:6" x14ac:dyDescent="0.2">
      <c r="A4762" t="s">
        <v>172</v>
      </c>
      <c r="B4762" s="1">
        <v>1337013</v>
      </c>
      <c r="C4762" s="1">
        <v>3841</v>
      </c>
      <c r="D4762" s="2">
        <v>42438</v>
      </c>
      <c r="E4762" s="1" t="s">
        <v>18</v>
      </c>
      <c r="F4762" t="str">
        <f>HYPERLINK("http://www.sec.gov/Archives/edgar/data/1337013/0001193125-16-497577-index.html")</f>
        <v>http://www.sec.gov/Archives/edgar/data/1337013/0001193125-16-497577-index.html</v>
      </c>
    </row>
    <row r="4763" spans="1:6" x14ac:dyDescent="0.2">
      <c r="A4763" t="s">
        <v>4302</v>
      </c>
      <c r="B4763" s="1">
        <v>1356576</v>
      </c>
      <c r="C4763" s="1">
        <v>2834</v>
      </c>
      <c r="D4763" s="2">
        <v>42438</v>
      </c>
      <c r="E4763" s="1" t="s">
        <v>18</v>
      </c>
      <c r="F4763" t="str">
        <f>HYPERLINK("http://www.sec.gov/Archives/edgar/data/1356576/0001047469-16-010884-index.html")</f>
        <v>http://www.sec.gov/Archives/edgar/data/1356576/0001047469-16-010884-index.html</v>
      </c>
    </row>
    <row r="4764" spans="1:6" x14ac:dyDescent="0.2">
      <c r="A4764" t="s">
        <v>4303</v>
      </c>
      <c r="B4764" s="1">
        <v>1365101</v>
      </c>
      <c r="C4764" s="1">
        <v>5141</v>
      </c>
      <c r="D4764" s="2">
        <v>42438</v>
      </c>
      <c r="E4764" s="1" t="s">
        <v>18</v>
      </c>
      <c r="F4764" t="str">
        <f>HYPERLINK("http://www.sec.gov/Archives/edgar/data/1365101/0001140361-16-057208-index.html")</f>
        <v>http://www.sec.gov/Archives/edgar/data/1365101/0001140361-16-057208-index.html</v>
      </c>
    </row>
    <row r="4765" spans="1:6" x14ac:dyDescent="0.2">
      <c r="A4765" t="s">
        <v>4304</v>
      </c>
      <c r="B4765" s="1">
        <v>1372807</v>
      </c>
      <c r="C4765" s="1">
        <v>7372</v>
      </c>
      <c r="D4765" s="2">
        <v>42438</v>
      </c>
      <c r="E4765" s="1" t="s">
        <v>18</v>
      </c>
      <c r="F4765" t="str">
        <f>HYPERLINK("http://www.sec.gov/Archives/edgar/data/1372807/0001144204-16-086925-index.html")</f>
        <v>http://www.sec.gov/Archives/edgar/data/1372807/0001144204-16-086925-index.html</v>
      </c>
    </row>
    <row r="4766" spans="1:6" x14ac:dyDescent="0.2">
      <c r="A4766" t="s">
        <v>4305</v>
      </c>
      <c r="B4766" s="1">
        <v>1392091</v>
      </c>
      <c r="C4766" s="1">
        <v>4610</v>
      </c>
      <c r="D4766" s="2">
        <v>42438</v>
      </c>
      <c r="E4766" s="1" t="s">
        <v>18</v>
      </c>
      <c r="F4766" t="str">
        <f>HYPERLINK("http://www.sec.gov/Archives/edgar/data/1392091/0001392091-16-000102-index.html")</f>
        <v>http://www.sec.gov/Archives/edgar/data/1392091/0001392091-16-000102-index.html</v>
      </c>
    </row>
    <row r="4767" spans="1:6" x14ac:dyDescent="0.2">
      <c r="A4767" t="s">
        <v>4306</v>
      </c>
      <c r="B4767" s="1">
        <v>1429560</v>
      </c>
      <c r="C4767" s="1">
        <v>2834</v>
      </c>
      <c r="D4767" s="2">
        <v>42438</v>
      </c>
      <c r="E4767" s="1" t="s">
        <v>18</v>
      </c>
      <c r="F4767" t="str">
        <f>HYPERLINK("http://www.sec.gov/Archives/edgar/data/1429560/0001047469-16-010926-index.html")</f>
        <v>http://www.sec.gov/Archives/edgar/data/1429560/0001047469-16-010926-index.html</v>
      </c>
    </row>
    <row r="4768" spans="1:6" x14ac:dyDescent="0.2">
      <c r="A4768" t="s">
        <v>4307</v>
      </c>
      <c r="B4768" s="1">
        <v>1434620</v>
      </c>
      <c r="C4768" s="1">
        <v>6531</v>
      </c>
      <c r="D4768" s="2">
        <v>42438</v>
      </c>
      <c r="E4768" s="1" t="s">
        <v>42</v>
      </c>
      <c r="F4768" t="str">
        <f>HYPERLINK("http://www.sec.gov/Archives/edgar/data/1434620/0001047469-16-010934-index.html")</f>
        <v>http://www.sec.gov/Archives/edgar/data/1434620/0001047469-16-010934-index.html</v>
      </c>
    </row>
    <row r="4769" spans="1:6" x14ac:dyDescent="0.2">
      <c r="A4769" t="s">
        <v>4308</v>
      </c>
      <c r="B4769" s="1">
        <v>1442741</v>
      </c>
      <c r="C4769" s="1">
        <v>6022</v>
      </c>
      <c r="D4769" s="2">
        <v>42438</v>
      </c>
      <c r="E4769" s="1" t="s">
        <v>18</v>
      </c>
      <c r="F4769" t="str">
        <f>HYPERLINK("http://www.sec.gov/Archives/edgar/data/1442741/0001193125-16-498418-index.html")</f>
        <v>http://www.sec.gov/Archives/edgar/data/1442741/0001193125-16-498418-index.html</v>
      </c>
    </row>
    <row r="4770" spans="1:6" x14ac:dyDescent="0.2">
      <c r="A4770" t="s">
        <v>4309</v>
      </c>
      <c r="B4770" s="1">
        <v>1447028</v>
      </c>
      <c r="C4770" s="1">
        <v>2834</v>
      </c>
      <c r="D4770" s="2">
        <v>42438</v>
      </c>
      <c r="E4770" s="1" t="s">
        <v>18</v>
      </c>
      <c r="F4770" t="str">
        <f>HYPERLINK("http://www.sec.gov/Archives/edgar/data/1447028/0001628280-16-012462-index.html")</f>
        <v>http://www.sec.gov/Archives/edgar/data/1447028/0001628280-16-012462-index.html</v>
      </c>
    </row>
    <row r="4771" spans="1:6" x14ac:dyDescent="0.2">
      <c r="A4771" t="s">
        <v>4310</v>
      </c>
      <c r="B4771" s="1">
        <v>1456802</v>
      </c>
      <c r="C4771" s="1">
        <v>6500</v>
      </c>
      <c r="D4771" s="2">
        <v>42438</v>
      </c>
      <c r="E4771" s="1" t="s">
        <v>18</v>
      </c>
      <c r="F4771" t="str">
        <f>HYPERLINK("http://www.sec.gov/Archives/edgar/data/1456802/0001165527-16-000681-index.html")</f>
        <v>http://www.sec.gov/Archives/edgar/data/1456802/0001165527-16-000681-index.html</v>
      </c>
    </row>
    <row r="4772" spans="1:6" x14ac:dyDescent="0.2">
      <c r="A4772" t="s">
        <v>4311</v>
      </c>
      <c r="B4772" s="1">
        <v>1472343</v>
      </c>
      <c r="C4772" s="1">
        <v>3826</v>
      </c>
      <c r="D4772" s="2">
        <v>42438</v>
      </c>
      <c r="E4772" s="1" t="s">
        <v>18</v>
      </c>
      <c r="F4772" t="str">
        <f>HYPERLINK("http://www.sec.gov/Archives/edgar/data/1472343/0001472343-16-000148-index.html")</f>
        <v>http://www.sec.gov/Archives/edgar/data/1472343/0001472343-16-000148-index.html</v>
      </c>
    </row>
    <row r="4773" spans="1:6" x14ac:dyDescent="0.2">
      <c r="A4773" t="s">
        <v>4312</v>
      </c>
      <c r="B4773" s="1">
        <v>1481582</v>
      </c>
      <c r="C4773" s="1">
        <v>5051</v>
      </c>
      <c r="D4773" s="2">
        <v>42438</v>
      </c>
      <c r="E4773" s="1" t="s">
        <v>18</v>
      </c>
      <c r="F4773" t="str">
        <f>HYPERLINK("http://www.sec.gov/Archives/edgar/data/1481582/0001564590-16-014318-index.html")</f>
        <v>http://www.sec.gov/Archives/edgar/data/1481582/0001564590-16-014318-index.html</v>
      </c>
    </row>
    <row r="4774" spans="1:6" x14ac:dyDescent="0.2">
      <c r="A4774" t="s">
        <v>4313</v>
      </c>
      <c r="B4774" s="1">
        <v>1487952</v>
      </c>
      <c r="C4774" s="1">
        <v>3670</v>
      </c>
      <c r="D4774" s="2">
        <v>42438</v>
      </c>
      <c r="E4774" s="1" t="s">
        <v>18</v>
      </c>
      <c r="F4774" t="str">
        <f>HYPERLINK("http://www.sec.gov/Archives/edgar/data/1487952/0001487952-16-000067-index.html")</f>
        <v>http://www.sec.gov/Archives/edgar/data/1487952/0001487952-16-000067-index.html</v>
      </c>
    </row>
    <row r="4775" spans="1:6" x14ac:dyDescent="0.2">
      <c r="A4775" t="s">
        <v>4314</v>
      </c>
      <c r="B4775" s="1">
        <v>1490927</v>
      </c>
      <c r="C4775" s="1">
        <v>7372</v>
      </c>
      <c r="D4775" s="2">
        <v>42438</v>
      </c>
      <c r="E4775" s="1" t="s">
        <v>18</v>
      </c>
      <c r="F4775" t="str">
        <f>HYPERLINK("http://www.sec.gov/Archives/edgar/data/1490927/0001490927-16-000015-index.html")</f>
        <v>http://www.sec.gov/Archives/edgar/data/1490927/0001490927-16-000015-index.html</v>
      </c>
    </row>
    <row r="4776" spans="1:6" x14ac:dyDescent="0.2">
      <c r="A4776" t="s">
        <v>4315</v>
      </c>
      <c r="B4776" s="1">
        <v>1492674</v>
      </c>
      <c r="C4776" s="1">
        <v>3841</v>
      </c>
      <c r="D4776" s="2">
        <v>42438</v>
      </c>
      <c r="E4776" s="1" t="s">
        <v>18</v>
      </c>
      <c r="F4776" t="str">
        <f>HYPERLINK("http://www.sec.gov/Archives/edgar/data/1492674/0001558370-16-003930-index.html")</f>
        <v>http://www.sec.gov/Archives/edgar/data/1492674/0001558370-16-003930-index.html</v>
      </c>
    </row>
    <row r="4777" spans="1:6" x14ac:dyDescent="0.2">
      <c r="A4777" t="s">
        <v>550</v>
      </c>
      <c r="B4777" s="1">
        <v>1517130</v>
      </c>
      <c r="C4777" s="1">
        <v>900</v>
      </c>
      <c r="D4777" s="2">
        <v>42438</v>
      </c>
      <c r="E4777" s="1" t="s">
        <v>18</v>
      </c>
      <c r="F4777" t="str">
        <f>HYPERLINK("http://www.sec.gov/Archives/edgar/data/1517130/0001213900-16-011466-index.html")</f>
        <v>http://www.sec.gov/Archives/edgar/data/1517130/0001213900-16-011466-index.html</v>
      </c>
    </row>
    <row r="4778" spans="1:6" x14ac:dyDescent="0.2">
      <c r="A4778" t="s">
        <v>4316</v>
      </c>
      <c r="B4778" s="1">
        <v>1518222</v>
      </c>
      <c r="C4778" s="1">
        <v>7374</v>
      </c>
      <c r="D4778" s="2">
        <v>42438</v>
      </c>
      <c r="E4778" s="1" t="s">
        <v>18</v>
      </c>
      <c r="F4778" t="str">
        <f>HYPERLINK("http://www.sec.gov/Archives/edgar/data/1518222/0001518222-16-000073-index.html")</f>
        <v>http://www.sec.gov/Archives/edgar/data/1518222/0001518222-16-000073-index.html</v>
      </c>
    </row>
    <row r="4779" spans="1:6" x14ac:dyDescent="0.2">
      <c r="A4779" t="s">
        <v>4317</v>
      </c>
      <c r="B4779" s="1">
        <v>1518587</v>
      </c>
      <c r="C4779" s="1">
        <v>3341</v>
      </c>
      <c r="D4779" s="2">
        <v>42438</v>
      </c>
      <c r="E4779" s="1" t="s">
        <v>18</v>
      </c>
      <c r="F4779" t="str">
        <f>HYPERLINK("http://www.sec.gov/Archives/edgar/data/1518587/0001518587-16-000087-index.html")</f>
        <v>http://www.sec.gov/Archives/edgar/data/1518587/0001518587-16-000087-index.html</v>
      </c>
    </row>
    <row r="4780" spans="1:6" x14ac:dyDescent="0.2">
      <c r="A4780" t="s">
        <v>4318</v>
      </c>
      <c r="B4780" s="1">
        <v>1523526</v>
      </c>
      <c r="C4780" s="1">
        <v>2834</v>
      </c>
      <c r="D4780" s="2">
        <v>42438</v>
      </c>
      <c r="E4780" s="1" t="s">
        <v>18</v>
      </c>
      <c r="F4780" t="str">
        <f>HYPERLINK("http://www.sec.gov/Archives/edgar/data/1523526/0001193125-16-497163-index.html")</f>
        <v>http://www.sec.gov/Archives/edgar/data/1523526/0001193125-16-497163-index.html</v>
      </c>
    </row>
    <row r="4781" spans="1:6" x14ac:dyDescent="0.2">
      <c r="A4781" t="s">
        <v>4319</v>
      </c>
      <c r="B4781" s="1">
        <v>1526759</v>
      </c>
      <c r="C4781" s="1">
        <v>7200</v>
      </c>
      <c r="D4781" s="2">
        <v>42438</v>
      </c>
      <c r="E4781" s="1" t="s">
        <v>18</v>
      </c>
      <c r="F4781" t="str">
        <f>HYPERLINK("http://www.sec.gov/Archives/edgar/data/1526759/0001398432-16-000490-index.html")</f>
        <v>http://www.sec.gov/Archives/edgar/data/1526759/0001398432-16-000490-index.html</v>
      </c>
    </row>
    <row r="4782" spans="1:6" x14ac:dyDescent="0.2">
      <c r="A4782" t="s">
        <v>4034</v>
      </c>
      <c r="B4782" s="1">
        <v>1528749</v>
      </c>
      <c r="C4782" s="1">
        <v>4700</v>
      </c>
      <c r="D4782" s="2">
        <v>42438</v>
      </c>
      <c r="E4782" s="1" t="s">
        <v>18</v>
      </c>
      <c r="F4782" t="str">
        <f>HYPERLINK("http://www.sec.gov/Archives/edgar/data/1528749/0001528749-16-000074-index.html")</f>
        <v>http://www.sec.gov/Archives/edgar/data/1528749/0001528749-16-000074-index.html</v>
      </c>
    </row>
    <row r="4783" spans="1:6" x14ac:dyDescent="0.2">
      <c r="A4783" t="s">
        <v>4320</v>
      </c>
      <c r="B4783" s="1">
        <v>1532079</v>
      </c>
      <c r="C4783" s="1">
        <v>2834</v>
      </c>
      <c r="D4783" s="2">
        <v>42438</v>
      </c>
      <c r="E4783" s="1" t="s">
        <v>18</v>
      </c>
      <c r="F4783" t="str">
        <f>HYPERLINK("http://www.sec.gov/Archives/edgar/data/1532079/0001279569-16-002896-index.html")</f>
        <v>http://www.sec.gov/Archives/edgar/data/1532079/0001279569-16-002896-index.html</v>
      </c>
    </row>
    <row r="4784" spans="1:6" x14ac:dyDescent="0.2">
      <c r="A4784" t="s">
        <v>4321</v>
      </c>
      <c r="B4784" s="1">
        <v>1533526</v>
      </c>
      <c r="C4784" s="1">
        <v>3350</v>
      </c>
      <c r="D4784" s="2">
        <v>42438</v>
      </c>
      <c r="E4784" s="1" t="s">
        <v>18</v>
      </c>
      <c r="F4784" t="str">
        <f>HYPERLINK("http://www.sec.gov/Archives/edgar/data/1533526/0001533526-16-000028-index.html")</f>
        <v>http://www.sec.gov/Archives/edgar/data/1533526/0001533526-16-000028-index.html</v>
      </c>
    </row>
    <row r="4785" spans="1:6" x14ac:dyDescent="0.2">
      <c r="A4785" t="s">
        <v>4322</v>
      </c>
      <c r="B4785" s="1">
        <v>1548621</v>
      </c>
      <c r="C4785" s="1">
        <v>5812</v>
      </c>
      <c r="D4785" s="2">
        <v>42438</v>
      </c>
      <c r="E4785" s="1" t="s">
        <v>18</v>
      </c>
      <c r="F4785" t="str">
        <f>HYPERLINK("http://www.sec.gov/Archives/edgar/data/1548621/0001548621-16-000028-index.html")</f>
        <v>http://www.sec.gov/Archives/edgar/data/1548621/0001548621-16-000028-index.html</v>
      </c>
    </row>
    <row r="4786" spans="1:6" x14ac:dyDescent="0.2">
      <c r="A4786" t="s">
        <v>4323</v>
      </c>
      <c r="B4786" s="1">
        <v>1571498</v>
      </c>
      <c r="C4786" s="1">
        <v>2834</v>
      </c>
      <c r="D4786" s="2">
        <v>42438</v>
      </c>
      <c r="E4786" s="1" t="s">
        <v>18</v>
      </c>
      <c r="F4786" t="str">
        <f>HYPERLINK("http://www.sec.gov/Archives/edgar/data/1571498/0001193125-16-497434-index.html")</f>
        <v>http://www.sec.gov/Archives/edgar/data/1571498/0001193125-16-497434-index.html</v>
      </c>
    </row>
    <row r="4787" spans="1:6" x14ac:dyDescent="0.2">
      <c r="A4787" t="s">
        <v>4324</v>
      </c>
      <c r="B4787" s="1">
        <v>1573166</v>
      </c>
      <c r="C4787" s="1">
        <v>1311</v>
      </c>
      <c r="D4787" s="2">
        <v>42438</v>
      </c>
      <c r="E4787" s="1" t="s">
        <v>18</v>
      </c>
      <c r="F4787" t="str">
        <f>HYPERLINK("http://www.sec.gov/Archives/edgar/data/1573166/0001047469-16-010925-index.html")</f>
        <v>http://www.sec.gov/Archives/edgar/data/1573166/0001047469-16-010925-index.html</v>
      </c>
    </row>
    <row r="4788" spans="1:6" x14ac:dyDescent="0.2">
      <c r="A4788" t="s">
        <v>4325</v>
      </c>
      <c r="B4788" s="1">
        <v>1576263</v>
      </c>
      <c r="C4788" s="1">
        <v>2834</v>
      </c>
      <c r="D4788" s="2">
        <v>42438</v>
      </c>
      <c r="E4788" s="1" t="s">
        <v>18</v>
      </c>
      <c r="F4788" t="str">
        <f>HYPERLINK("http://www.sec.gov/Archives/edgar/data/1576263/0001628280-16-012476-index.html")</f>
        <v>http://www.sec.gov/Archives/edgar/data/1576263/0001628280-16-012476-index.html</v>
      </c>
    </row>
    <row r="4789" spans="1:6" x14ac:dyDescent="0.2">
      <c r="A4789" t="s">
        <v>4326</v>
      </c>
      <c r="B4789" s="1">
        <v>1578620</v>
      </c>
      <c r="C4789" s="1">
        <v>900</v>
      </c>
      <c r="D4789" s="2">
        <v>42438</v>
      </c>
      <c r="E4789" s="1" t="s">
        <v>18</v>
      </c>
      <c r="F4789" t="str">
        <f>HYPERLINK("http://www.sec.gov/Archives/edgar/data/1578620/0001144204-16-086777-index.html")</f>
        <v>http://www.sec.gov/Archives/edgar/data/1578620/0001144204-16-086777-index.html</v>
      </c>
    </row>
    <row r="4790" spans="1:6" x14ac:dyDescent="0.2">
      <c r="A4790" t="s">
        <v>4327</v>
      </c>
      <c r="B4790" s="1">
        <v>1580167</v>
      </c>
      <c r="C4790" s="1">
        <v>6799</v>
      </c>
      <c r="D4790" s="2">
        <v>42438</v>
      </c>
      <c r="E4790" s="1" t="s">
        <v>18</v>
      </c>
      <c r="F4790" t="str">
        <f>HYPERLINK("http://www.sec.gov/Archives/edgar/data/1580167/0000891092-16-013112-index.html")</f>
        <v>http://www.sec.gov/Archives/edgar/data/1580167/0000891092-16-013112-index.html</v>
      </c>
    </row>
    <row r="4791" spans="1:6" x14ac:dyDescent="0.2">
      <c r="A4791" t="s">
        <v>4328</v>
      </c>
      <c r="B4791" s="1">
        <v>1580670</v>
      </c>
      <c r="C4791" s="1">
        <v>1531</v>
      </c>
      <c r="D4791" s="2">
        <v>42438</v>
      </c>
      <c r="E4791" s="1" t="s">
        <v>18</v>
      </c>
      <c r="F4791" t="str">
        <f>HYPERLINK("http://www.sec.gov/Archives/edgar/data/1580670/0001580670-16-000172-index.html")</f>
        <v>http://www.sec.gov/Archives/edgar/data/1580670/0001580670-16-000172-index.html</v>
      </c>
    </row>
    <row r="4792" spans="1:6" x14ac:dyDescent="0.2">
      <c r="A4792" t="s">
        <v>4329</v>
      </c>
      <c r="B4792" s="1">
        <v>1580905</v>
      </c>
      <c r="C4792" s="1">
        <v>1520</v>
      </c>
      <c r="D4792" s="2">
        <v>42438</v>
      </c>
      <c r="E4792" s="1" t="s">
        <v>18</v>
      </c>
      <c r="F4792" t="str">
        <f>HYPERLINK("http://www.sec.gov/Archives/edgar/data/1580905/0001193125-16-498539-index.html")</f>
        <v>http://www.sec.gov/Archives/edgar/data/1580905/0001193125-16-498539-index.html</v>
      </c>
    </row>
    <row r="4793" spans="1:6" x14ac:dyDescent="0.2">
      <c r="A4793" t="s">
        <v>4330</v>
      </c>
      <c r="B4793" s="1">
        <v>1582086</v>
      </c>
      <c r="C4793" s="1">
        <v>6331</v>
      </c>
      <c r="D4793" s="2">
        <v>42438</v>
      </c>
      <c r="E4793" s="1" t="s">
        <v>18</v>
      </c>
      <c r="F4793" t="str">
        <f>HYPERLINK("http://www.sec.gov/Archives/edgar/data/1582086/0001582086-16-000006-index.html")</f>
        <v>http://www.sec.gov/Archives/edgar/data/1582086/0001582086-16-000006-index.html</v>
      </c>
    </row>
    <row r="4794" spans="1:6" x14ac:dyDescent="0.2">
      <c r="A4794" t="s">
        <v>4331</v>
      </c>
      <c r="B4794" s="1">
        <v>1592379</v>
      </c>
      <c r="C4794" s="1">
        <v>5812</v>
      </c>
      <c r="D4794" s="2">
        <v>42438</v>
      </c>
      <c r="E4794" s="1" t="s">
        <v>18</v>
      </c>
      <c r="F4794" t="str">
        <f>HYPERLINK("http://www.sec.gov/Archives/edgar/data/1592379/0001592379-16-000111-index.html")</f>
        <v>http://www.sec.gov/Archives/edgar/data/1592379/0001592379-16-000111-index.html</v>
      </c>
    </row>
    <row r="4795" spans="1:6" x14ac:dyDescent="0.2">
      <c r="A4795" t="s">
        <v>4332</v>
      </c>
      <c r="B4795" s="1">
        <v>1601545</v>
      </c>
      <c r="C4795" s="1">
        <v>6022</v>
      </c>
      <c r="D4795" s="2">
        <v>42438</v>
      </c>
      <c r="E4795" s="1" t="s">
        <v>18</v>
      </c>
      <c r="F4795" t="str">
        <f>HYPERLINK("http://www.sec.gov/Archives/edgar/data/1601545/0001601545-16-000123-index.html")</f>
        <v>http://www.sec.gov/Archives/edgar/data/1601545/0001601545-16-000123-index.html</v>
      </c>
    </row>
    <row r="4796" spans="1:6" x14ac:dyDescent="0.2">
      <c r="A4796" t="s">
        <v>4333</v>
      </c>
      <c r="B4796" s="1">
        <v>1603671</v>
      </c>
      <c r="C4796" s="1">
        <v>6798</v>
      </c>
      <c r="D4796" s="2">
        <v>42438</v>
      </c>
      <c r="E4796" s="1" t="s">
        <v>18</v>
      </c>
      <c r="F4796" t="str">
        <f>HYPERLINK("http://www.sec.gov/Archives/edgar/data/1603671/0001603671-16-000059-index.html")</f>
        <v>http://www.sec.gov/Archives/edgar/data/1603671/0001603671-16-000059-index.html</v>
      </c>
    </row>
    <row r="4797" spans="1:6" x14ac:dyDescent="0.2">
      <c r="A4797" t="s">
        <v>4334</v>
      </c>
      <c r="B4797" s="1">
        <v>1606180</v>
      </c>
      <c r="C4797" s="1">
        <v>8093</v>
      </c>
      <c r="D4797" s="2">
        <v>42438</v>
      </c>
      <c r="E4797" s="1" t="s">
        <v>18</v>
      </c>
      <c r="F4797" t="str">
        <f>HYPERLINK("http://www.sec.gov/Archives/edgar/data/1606180/0001564590-16-014247-index.html")</f>
        <v>http://www.sec.gov/Archives/edgar/data/1606180/0001564590-16-014247-index.html</v>
      </c>
    </row>
    <row r="4798" spans="1:6" x14ac:dyDescent="0.2">
      <c r="A4798" t="s">
        <v>4335</v>
      </c>
      <c r="B4798" s="1">
        <v>1617669</v>
      </c>
      <c r="C4798" s="1">
        <v>3714</v>
      </c>
      <c r="D4798" s="2">
        <v>42438</v>
      </c>
      <c r="E4798" s="1" t="s">
        <v>18</v>
      </c>
      <c r="F4798" t="str">
        <f>HYPERLINK("http://www.sec.gov/Archives/edgar/data/1617669/0001617669-16-000044-index.html")</f>
        <v>http://www.sec.gov/Archives/edgar/data/1617669/0001617669-16-000044-index.html</v>
      </c>
    </row>
    <row r="4799" spans="1:6" x14ac:dyDescent="0.2">
      <c r="A4799" t="s">
        <v>4336</v>
      </c>
      <c r="B4799" s="1">
        <v>277638</v>
      </c>
      <c r="C4799" s="1">
        <v>700</v>
      </c>
      <c r="D4799" s="2">
        <v>42438</v>
      </c>
      <c r="E4799" s="1" t="s">
        <v>18</v>
      </c>
      <c r="F4799" t="str">
        <f>HYPERLINK("http://www.sec.gov/Archives/edgar/data/277638/0000277638-16-000058-index.html")</f>
        <v>http://www.sec.gov/Archives/edgar/data/277638/0000277638-16-000058-index.html</v>
      </c>
    </row>
    <row r="4800" spans="1:6" x14ac:dyDescent="0.2">
      <c r="A4800" t="s">
        <v>4337</v>
      </c>
      <c r="B4800" s="1">
        <v>29332</v>
      </c>
      <c r="C4800" s="1">
        <v>2273</v>
      </c>
      <c r="D4800" s="2">
        <v>42438</v>
      </c>
      <c r="E4800" s="1" t="s">
        <v>18</v>
      </c>
      <c r="F4800" t="str">
        <f>HYPERLINK("http://www.sec.gov/Archives/edgar/data/29332/0000029332-16-000142-index.html")</f>
        <v>http://www.sec.gov/Archives/edgar/data/29332/0000029332-16-000142-index.html</v>
      </c>
    </row>
    <row r="4801" spans="1:6" x14ac:dyDescent="0.2">
      <c r="A4801" t="s">
        <v>4338</v>
      </c>
      <c r="B4801" s="1">
        <v>351834</v>
      </c>
      <c r="C4801" s="1">
        <v>5150</v>
      </c>
      <c r="D4801" s="2">
        <v>42438</v>
      </c>
      <c r="E4801" s="1" t="s">
        <v>18</v>
      </c>
      <c r="F4801" t="str">
        <f>HYPERLINK("http://www.sec.gov/Archives/edgar/data/351834/0001062993-16-008222-index.html")</f>
        <v>http://www.sec.gov/Archives/edgar/data/351834/0001062993-16-008222-index.html</v>
      </c>
    </row>
    <row r="4802" spans="1:6" x14ac:dyDescent="0.2">
      <c r="A4802" t="s">
        <v>4339</v>
      </c>
      <c r="B4802" s="1">
        <v>46129</v>
      </c>
      <c r="C4802" s="1">
        <v>3825</v>
      </c>
      <c r="D4802" s="2">
        <v>42438</v>
      </c>
      <c r="E4802" s="1" t="s">
        <v>18</v>
      </c>
      <c r="F4802" t="str">
        <f>HYPERLINK("http://www.sec.gov/Archives/edgar/data/46129/0001104659-16-103933-index.html")</f>
        <v>http://www.sec.gov/Archives/edgar/data/46129/0001104659-16-103933-index.html</v>
      </c>
    </row>
    <row r="4803" spans="1:6" x14ac:dyDescent="0.2">
      <c r="A4803" t="s">
        <v>4340</v>
      </c>
      <c r="B4803" s="1">
        <v>704159</v>
      </c>
      <c r="C4803" s="1">
        <v>2836</v>
      </c>
      <c r="D4803" s="2">
        <v>42438</v>
      </c>
      <c r="E4803" s="1" t="s">
        <v>42</v>
      </c>
      <c r="F4803" t="str">
        <f>HYPERLINK("http://www.sec.gov/Archives/edgar/data/704159/0001437749-16-027165-index.html")</f>
        <v>http://www.sec.gov/Archives/edgar/data/704159/0001437749-16-027165-index.html</v>
      </c>
    </row>
    <row r="4804" spans="1:6" x14ac:dyDescent="0.2">
      <c r="A4804" t="s">
        <v>4341</v>
      </c>
      <c r="B4804" s="1">
        <v>714395</v>
      </c>
      <c r="C4804" s="1">
        <v>6022</v>
      </c>
      <c r="D4804" s="2">
        <v>42438</v>
      </c>
      <c r="E4804" s="1" t="s">
        <v>18</v>
      </c>
      <c r="F4804" t="str">
        <f>HYPERLINK("http://www.sec.gov/Archives/edgar/data/714395/0001628280-16-012485-index.html")</f>
        <v>http://www.sec.gov/Archives/edgar/data/714395/0001628280-16-012485-index.html</v>
      </c>
    </row>
    <row r="4805" spans="1:6" x14ac:dyDescent="0.2">
      <c r="A4805" t="s">
        <v>4342</v>
      </c>
      <c r="B4805" s="1">
        <v>714562</v>
      </c>
      <c r="C4805" s="1">
        <v>6022</v>
      </c>
      <c r="D4805" s="2">
        <v>42438</v>
      </c>
      <c r="E4805" s="1" t="s">
        <v>18</v>
      </c>
      <c r="F4805" t="str">
        <f>HYPERLINK("http://www.sec.gov/Archives/edgar/data/714562/0000714562-16-000091-index.html")</f>
        <v>http://www.sec.gov/Archives/edgar/data/714562/0000714562-16-000091-index.html</v>
      </c>
    </row>
    <row r="4806" spans="1:6" x14ac:dyDescent="0.2">
      <c r="A4806" t="s">
        <v>4343</v>
      </c>
      <c r="B4806" s="1">
        <v>723646</v>
      </c>
      <c r="C4806" s="1">
        <v>6022</v>
      </c>
      <c r="D4806" s="2">
        <v>42438</v>
      </c>
      <c r="E4806" s="1" t="s">
        <v>18</v>
      </c>
      <c r="F4806" t="str">
        <f>HYPERLINK("http://www.sec.gov/Archives/edgar/data/723646/0000723646-16-000041-index.html")</f>
        <v>http://www.sec.gov/Archives/edgar/data/723646/0000723646-16-000041-index.html</v>
      </c>
    </row>
    <row r="4807" spans="1:6" x14ac:dyDescent="0.2">
      <c r="A4807" t="s">
        <v>4344</v>
      </c>
      <c r="B4807" s="1">
        <v>727207</v>
      </c>
      <c r="C4807" s="1">
        <v>3826</v>
      </c>
      <c r="D4807" s="2">
        <v>42438</v>
      </c>
      <c r="E4807" s="1" t="s">
        <v>18</v>
      </c>
      <c r="F4807" t="str">
        <f>HYPERLINK("http://www.sec.gov/Archives/edgar/data/727207/0001628280-16-012510-index.html")</f>
        <v>http://www.sec.gov/Archives/edgar/data/727207/0001628280-16-012510-index.html</v>
      </c>
    </row>
    <row r="4808" spans="1:6" x14ac:dyDescent="0.2">
      <c r="A4808" t="s">
        <v>4345</v>
      </c>
      <c r="B4808" s="1">
        <v>732417</v>
      </c>
      <c r="C4808" s="1">
        <v>6022</v>
      </c>
      <c r="D4808" s="2">
        <v>42438</v>
      </c>
      <c r="E4808" s="1" t="s">
        <v>18</v>
      </c>
      <c r="F4808" t="str">
        <f>HYPERLINK("http://www.sec.gov/Archives/edgar/data/732417/0000732417-16-000056-index.html")</f>
        <v>http://www.sec.gov/Archives/edgar/data/732417/0000732417-16-000056-index.html</v>
      </c>
    </row>
    <row r="4809" spans="1:6" x14ac:dyDescent="0.2">
      <c r="A4809" t="s">
        <v>4346</v>
      </c>
      <c r="B4809" s="1">
        <v>743238</v>
      </c>
      <c r="C4809" s="1">
        <v>3711</v>
      </c>
      <c r="D4809" s="2">
        <v>42438</v>
      </c>
      <c r="E4809" s="1" t="s">
        <v>18</v>
      </c>
      <c r="F4809" t="str">
        <f>HYPERLINK("http://www.sec.gov/Archives/edgar/data/743238/0001437749-16-027109-index.html")</f>
        <v>http://www.sec.gov/Archives/edgar/data/743238/0001437749-16-027109-index.html</v>
      </c>
    </row>
    <row r="4810" spans="1:6" x14ac:dyDescent="0.2">
      <c r="A4810" t="s">
        <v>4347</v>
      </c>
      <c r="B4810" s="1">
        <v>752642</v>
      </c>
      <c r="C4810" s="1">
        <v>6798</v>
      </c>
      <c r="D4810" s="2">
        <v>42438</v>
      </c>
      <c r="E4810" s="1" t="s">
        <v>18</v>
      </c>
      <c r="F4810" t="str">
        <f>HYPERLINK("http://www.sec.gov/Archives/edgar/data/752642/0001206774-16-004851-index.html")</f>
        <v>http://www.sec.gov/Archives/edgar/data/752642/0001206774-16-004851-index.html</v>
      </c>
    </row>
    <row r="4811" spans="1:6" x14ac:dyDescent="0.2">
      <c r="A4811" t="s">
        <v>4348</v>
      </c>
      <c r="B4811" s="1">
        <v>763907</v>
      </c>
      <c r="C4811" s="1">
        <v>6021</v>
      </c>
      <c r="D4811" s="2">
        <v>42438</v>
      </c>
      <c r="E4811" s="1" t="s">
        <v>18</v>
      </c>
      <c r="F4811" t="str">
        <f>HYPERLINK("http://www.sec.gov/Archives/edgar/data/763907/0001144204-16-086953-index.html")</f>
        <v>http://www.sec.gov/Archives/edgar/data/763907/0001144204-16-086953-index.html</v>
      </c>
    </row>
    <row r="4812" spans="1:6" x14ac:dyDescent="0.2">
      <c r="A4812" t="s">
        <v>4349</v>
      </c>
      <c r="B4812" s="1">
        <v>768411</v>
      </c>
      <c r="C4812" s="1">
        <v>3827</v>
      </c>
      <c r="D4812" s="2">
        <v>42438</v>
      </c>
      <c r="E4812" s="1" t="s">
        <v>18</v>
      </c>
      <c r="F4812" t="str">
        <f>HYPERLINK("http://www.sec.gov/Archives/edgar/data/768411/0000768411-16-000015-index.html")</f>
        <v>http://www.sec.gov/Archives/edgar/data/768411/0000768411-16-000015-index.html</v>
      </c>
    </row>
    <row r="4813" spans="1:6" x14ac:dyDescent="0.2">
      <c r="A4813" t="s">
        <v>4350</v>
      </c>
      <c r="B4813" s="1">
        <v>791908</v>
      </c>
      <c r="C4813" s="1">
        <v>2834</v>
      </c>
      <c r="D4813" s="2">
        <v>42438</v>
      </c>
      <c r="E4813" s="1" t="s">
        <v>18</v>
      </c>
      <c r="F4813" t="str">
        <f>HYPERLINK("http://www.sec.gov/Archives/edgar/data/791908/0001564590-16-014295-index.html")</f>
        <v>http://www.sec.gov/Archives/edgar/data/791908/0001564590-16-014295-index.html</v>
      </c>
    </row>
    <row r="4814" spans="1:6" x14ac:dyDescent="0.2">
      <c r="A4814" t="s">
        <v>4351</v>
      </c>
      <c r="B4814" s="1">
        <v>796534</v>
      </c>
      <c r="C4814" s="1">
        <v>6021</v>
      </c>
      <c r="D4814" s="2">
        <v>42438</v>
      </c>
      <c r="E4814" s="1" t="s">
        <v>18</v>
      </c>
      <c r="F4814" t="str">
        <f>HYPERLINK("http://www.sec.gov/Archives/edgar/data/796534/0001437749-16-027168-index.html")</f>
        <v>http://www.sec.gov/Archives/edgar/data/796534/0001437749-16-027168-index.html</v>
      </c>
    </row>
    <row r="4815" spans="1:6" x14ac:dyDescent="0.2">
      <c r="A4815" t="s">
        <v>4352</v>
      </c>
      <c r="B4815" s="1">
        <v>809248</v>
      </c>
      <c r="C4815" s="1">
        <v>5812</v>
      </c>
      <c r="D4815" s="2">
        <v>42438</v>
      </c>
      <c r="E4815" s="1" t="s">
        <v>18</v>
      </c>
      <c r="F4815" t="str">
        <f>HYPERLINK("http://www.sec.gov/Archives/edgar/data/809248/0000809248-16-000134-index.html")</f>
        <v>http://www.sec.gov/Archives/edgar/data/809248/0000809248-16-000134-index.html</v>
      </c>
    </row>
    <row r="4816" spans="1:6" x14ac:dyDescent="0.2">
      <c r="A4816" t="s">
        <v>4353</v>
      </c>
      <c r="B4816" s="1">
        <v>812348</v>
      </c>
      <c r="C4816" s="1">
        <v>6022</v>
      </c>
      <c r="D4816" s="2">
        <v>42438</v>
      </c>
      <c r="E4816" s="1" t="s">
        <v>18</v>
      </c>
      <c r="F4816" t="str">
        <f>HYPERLINK("http://www.sec.gov/Archives/edgar/data/812348/0001193125-16-498406-index.html")</f>
        <v>http://www.sec.gov/Archives/edgar/data/812348/0001193125-16-498406-index.html</v>
      </c>
    </row>
    <row r="4817" spans="1:6" x14ac:dyDescent="0.2">
      <c r="A4817" t="s">
        <v>4354</v>
      </c>
      <c r="B4817" s="1">
        <v>814676</v>
      </c>
      <c r="C4817" s="1">
        <v>3260</v>
      </c>
      <c r="D4817" s="2">
        <v>42438</v>
      </c>
      <c r="E4817" s="1" t="s">
        <v>18</v>
      </c>
      <c r="F4817" t="str">
        <f>HYPERLINK("http://www.sec.gov/Archives/edgar/data/814676/0000814676-16-000065-index.html")</f>
        <v>http://www.sec.gov/Archives/edgar/data/814676/0000814676-16-000065-index.html</v>
      </c>
    </row>
    <row r="4818" spans="1:6" x14ac:dyDescent="0.2">
      <c r="A4818" t="s">
        <v>4355</v>
      </c>
      <c r="B4818" s="1">
        <v>836147</v>
      </c>
      <c r="C4818" s="1">
        <v>6022</v>
      </c>
      <c r="D4818" s="2">
        <v>42438</v>
      </c>
      <c r="E4818" s="1" t="s">
        <v>18</v>
      </c>
      <c r="F4818" t="str">
        <f>HYPERLINK("http://www.sec.gov/Archives/edgar/data/836147/0001437749-16-027139-index.html")</f>
        <v>http://www.sec.gov/Archives/edgar/data/836147/0001437749-16-027139-index.html</v>
      </c>
    </row>
    <row r="4819" spans="1:6" x14ac:dyDescent="0.2">
      <c r="A4819" t="s">
        <v>4356</v>
      </c>
      <c r="B4819" s="1">
        <v>850429</v>
      </c>
      <c r="C4819" s="1">
        <v>3350</v>
      </c>
      <c r="D4819" s="2">
        <v>42438</v>
      </c>
      <c r="E4819" s="1" t="s">
        <v>42</v>
      </c>
      <c r="F4819" t="str">
        <f>HYPERLINK("http://www.sec.gov/Archives/edgar/data/850429/0000850429-16-000117-index.html")</f>
        <v>http://www.sec.gov/Archives/edgar/data/850429/0000850429-16-000117-index.html</v>
      </c>
    </row>
    <row r="4820" spans="1:6" x14ac:dyDescent="0.2">
      <c r="A4820" t="s">
        <v>1610</v>
      </c>
      <c r="B4820" s="1">
        <v>881524</v>
      </c>
      <c r="C4820" s="1">
        <v>2834</v>
      </c>
      <c r="D4820" s="2">
        <v>42438</v>
      </c>
      <c r="E4820" s="1" t="s">
        <v>18</v>
      </c>
      <c r="F4820" t="str">
        <f>HYPERLINK("http://www.sec.gov/Archives/edgar/data/881524/0001558370-16-003936-index.html")</f>
        <v>http://www.sec.gov/Archives/edgar/data/881524/0001558370-16-003936-index.html</v>
      </c>
    </row>
    <row r="4821" spans="1:6" x14ac:dyDescent="0.2">
      <c r="A4821" t="s">
        <v>4357</v>
      </c>
      <c r="B4821" s="1">
        <v>885568</v>
      </c>
      <c r="C4821" s="1">
        <v>4911</v>
      </c>
      <c r="D4821" s="2">
        <v>42438</v>
      </c>
      <c r="E4821" s="1" t="s">
        <v>18</v>
      </c>
      <c r="F4821" t="str">
        <f>HYPERLINK("http://www.sec.gov/Archives/edgar/data/885568/0000885568-16-000013-index.html")</f>
        <v>http://www.sec.gov/Archives/edgar/data/885568/0000885568-16-000013-index.html</v>
      </c>
    </row>
    <row r="4822" spans="1:6" x14ac:dyDescent="0.2">
      <c r="A4822" t="s">
        <v>4358</v>
      </c>
      <c r="B4822" s="1">
        <v>887969</v>
      </c>
      <c r="C4822" s="1">
        <v>3674</v>
      </c>
      <c r="D4822" s="2">
        <v>42438</v>
      </c>
      <c r="E4822" s="1" t="s">
        <v>18</v>
      </c>
      <c r="F4822" t="str">
        <f>HYPERLINK("http://www.sec.gov/Archives/edgar/data/887969/0000887969-16-000089-index.html")</f>
        <v>http://www.sec.gov/Archives/edgar/data/887969/0000887969-16-000089-index.html</v>
      </c>
    </row>
    <row r="4823" spans="1:6" x14ac:dyDescent="0.2">
      <c r="A4823" t="s">
        <v>4359</v>
      </c>
      <c r="B4823" s="1">
        <v>889609</v>
      </c>
      <c r="C4823" s="1">
        <v>6199</v>
      </c>
      <c r="D4823" s="2">
        <v>42438</v>
      </c>
      <c r="E4823" s="1" t="s">
        <v>18</v>
      </c>
      <c r="F4823" t="str">
        <f>HYPERLINK("http://www.sec.gov/Archives/edgar/data/889609/0001019687-16-005416-index.html")</f>
        <v>http://www.sec.gov/Archives/edgar/data/889609/0001019687-16-005416-index.html</v>
      </c>
    </row>
    <row r="4824" spans="1:6" x14ac:dyDescent="0.2">
      <c r="A4824" t="s">
        <v>4360</v>
      </c>
      <c r="B4824" s="1">
        <v>909494</v>
      </c>
      <c r="C4824" s="1">
        <v>7374</v>
      </c>
      <c r="D4824" s="2">
        <v>42438</v>
      </c>
      <c r="E4824" s="1" t="s">
        <v>18</v>
      </c>
      <c r="F4824" t="str">
        <f>HYPERLINK("http://www.sec.gov/Archives/edgar/data/909494/0001437749-16-027177-index.html")</f>
        <v>http://www.sec.gov/Archives/edgar/data/909494/0001437749-16-027177-index.html</v>
      </c>
    </row>
    <row r="4825" spans="1:6" x14ac:dyDescent="0.2">
      <c r="A4825" t="s">
        <v>4361</v>
      </c>
      <c r="B4825" s="1">
        <v>912833</v>
      </c>
      <c r="C4825" s="1">
        <v>5500</v>
      </c>
      <c r="D4825" s="2">
        <v>42438</v>
      </c>
      <c r="E4825" s="1" t="s">
        <v>18</v>
      </c>
      <c r="F4825" t="str">
        <f>HYPERLINK("http://www.sec.gov/Archives/edgar/data/912833/0000912833-16-000070-index.html")</f>
        <v>http://www.sec.gov/Archives/edgar/data/912833/0000912833-16-000070-index.html</v>
      </c>
    </row>
    <row r="4826" spans="1:6" x14ac:dyDescent="0.2">
      <c r="A4826" t="s">
        <v>4362</v>
      </c>
      <c r="B4826" s="1">
        <v>924822</v>
      </c>
      <c r="C4826" s="1">
        <v>3713</v>
      </c>
      <c r="D4826" s="2">
        <v>42438</v>
      </c>
      <c r="E4826" s="1" t="s">
        <v>18</v>
      </c>
      <c r="F4826" t="str">
        <f>HYPERLINK("http://www.sec.gov/Archives/edgar/data/924822/0001571049-16-012829-index.html")</f>
        <v>http://www.sec.gov/Archives/edgar/data/924822/0001571049-16-012829-index.html</v>
      </c>
    </row>
    <row r="4827" spans="1:6" x14ac:dyDescent="0.2">
      <c r="A4827" t="s">
        <v>4363</v>
      </c>
      <c r="B4827" s="1">
        <v>934473</v>
      </c>
      <c r="C4827" s="1">
        <v>2834</v>
      </c>
      <c r="D4827" s="2">
        <v>42438</v>
      </c>
      <c r="E4827" s="1" t="s">
        <v>18</v>
      </c>
      <c r="F4827" t="str">
        <f>HYPERLINK("http://www.sec.gov/Archives/edgar/data/934473/0001571049-16-012779-index.html")</f>
        <v>http://www.sec.gov/Archives/edgar/data/934473/0001571049-16-012779-index.html</v>
      </c>
    </row>
    <row r="4828" spans="1:6" x14ac:dyDescent="0.2">
      <c r="A4828" t="s">
        <v>4364</v>
      </c>
      <c r="B4828" s="1">
        <v>948708</v>
      </c>
      <c r="C4828" s="1">
        <v>7372</v>
      </c>
      <c r="D4828" s="2">
        <v>42438</v>
      </c>
      <c r="E4828" s="1" t="s">
        <v>18</v>
      </c>
      <c r="F4828" t="str">
        <f>HYPERLINK("http://www.sec.gov/Archives/edgar/data/948708/0001193125-16-498016-index.html")</f>
        <v>http://www.sec.gov/Archives/edgar/data/948708/0001193125-16-498016-index.html</v>
      </c>
    </row>
    <row r="4829" spans="1:6" x14ac:dyDescent="0.2">
      <c r="A4829" t="s">
        <v>4365</v>
      </c>
      <c r="B4829" s="1">
        <v>949858</v>
      </c>
      <c r="C4829" s="1">
        <v>2835</v>
      </c>
      <c r="D4829" s="2">
        <v>42438</v>
      </c>
      <c r="E4829" s="1" t="s">
        <v>18</v>
      </c>
      <c r="F4829" t="str">
        <f>HYPERLINK("http://www.sec.gov/Archives/edgar/data/949858/0001564590-16-014302-index.html")</f>
        <v>http://www.sec.gov/Archives/edgar/data/949858/0001564590-16-014302-index.html</v>
      </c>
    </row>
    <row r="4830" spans="1:6" x14ac:dyDescent="0.2">
      <c r="A4830" t="s">
        <v>4366</v>
      </c>
      <c r="B4830" s="1">
        <v>1006281</v>
      </c>
      <c r="C4830" s="1">
        <v>2836</v>
      </c>
      <c r="D4830" s="2">
        <v>42437</v>
      </c>
      <c r="E4830" s="1" t="s">
        <v>18</v>
      </c>
      <c r="F4830" t="str">
        <f>HYPERLINK("http://www.sec.gov/Archives/edgar/data/1006281/0001144204-16-086642-index.html")</f>
        <v>http://www.sec.gov/Archives/edgar/data/1006281/0001144204-16-086642-index.html</v>
      </c>
    </row>
    <row r="4831" spans="1:6" x14ac:dyDescent="0.2">
      <c r="A4831" t="s">
        <v>4367</v>
      </c>
      <c r="B4831" s="1">
        <v>1015155</v>
      </c>
      <c r="C4831" s="1">
        <v>3910</v>
      </c>
      <c r="D4831" s="2">
        <v>42437</v>
      </c>
      <c r="E4831" s="1" t="s">
        <v>18</v>
      </c>
      <c r="F4831" t="str">
        <f>HYPERLINK("http://www.sec.gov/Archives/edgar/data/1015155/0001140361-16-056993-index.html")</f>
        <v>http://www.sec.gov/Archives/edgar/data/1015155/0001140361-16-056993-index.html</v>
      </c>
    </row>
    <row r="4832" spans="1:6" x14ac:dyDescent="0.2">
      <c r="A4832" t="s">
        <v>4368</v>
      </c>
      <c r="B4832" s="1">
        <v>1016169</v>
      </c>
      <c r="C4832" s="1">
        <v>3841</v>
      </c>
      <c r="D4832" s="2">
        <v>42437</v>
      </c>
      <c r="E4832" s="1" t="s">
        <v>18</v>
      </c>
      <c r="F4832" t="str">
        <f>HYPERLINK("http://www.sec.gov/Archives/edgar/data/1016169/0001564590-16-014226-index.html")</f>
        <v>http://www.sec.gov/Archives/edgar/data/1016169/0001564590-16-014226-index.html</v>
      </c>
    </row>
    <row r="4833" spans="1:6" x14ac:dyDescent="0.2">
      <c r="A4833" t="s">
        <v>4369</v>
      </c>
      <c r="B4833" s="1">
        <v>1029125</v>
      </c>
      <c r="C4833" s="1">
        <v>2834</v>
      </c>
      <c r="D4833" s="2">
        <v>42437</v>
      </c>
      <c r="E4833" s="1" t="s">
        <v>18</v>
      </c>
      <c r="F4833" t="str">
        <f>HYPERLINK("http://www.sec.gov/Archives/edgar/data/1029125/0001437749-16-027017-index.html")</f>
        <v>http://www.sec.gov/Archives/edgar/data/1029125/0001437749-16-027017-index.html</v>
      </c>
    </row>
    <row r="4834" spans="1:6" x14ac:dyDescent="0.2">
      <c r="A4834" t="s">
        <v>4370</v>
      </c>
      <c r="B4834" s="1">
        <v>1029142</v>
      </c>
      <c r="C4834" s="1">
        <v>2834</v>
      </c>
      <c r="D4834" s="2">
        <v>42437</v>
      </c>
      <c r="E4834" s="1" t="s">
        <v>18</v>
      </c>
      <c r="F4834" t="str">
        <f>HYPERLINK("http://www.sec.gov/Archives/edgar/data/1029142/0001564590-16-014217-index.html")</f>
        <v>http://www.sec.gov/Archives/edgar/data/1029142/0001564590-16-014217-index.html</v>
      </c>
    </row>
    <row r="4835" spans="1:6" x14ac:dyDescent="0.2">
      <c r="A4835" t="s">
        <v>4371</v>
      </c>
      <c r="B4835" s="1">
        <v>1034842</v>
      </c>
      <c r="C4835" s="1">
        <v>2834</v>
      </c>
      <c r="D4835" s="2">
        <v>42437</v>
      </c>
      <c r="E4835" s="1" t="s">
        <v>18</v>
      </c>
      <c r="F4835" t="str">
        <f>HYPERLINK("http://www.sec.gov/Archives/edgar/data/1034842/0001558370-16-003898-index.html")</f>
        <v>http://www.sec.gov/Archives/edgar/data/1034842/0001558370-16-003898-index.html</v>
      </c>
    </row>
    <row r="4836" spans="1:6" x14ac:dyDescent="0.2">
      <c r="A4836" t="s">
        <v>4372</v>
      </c>
      <c r="B4836" s="1">
        <v>1056087</v>
      </c>
      <c r="C4836" s="1">
        <v>2711</v>
      </c>
      <c r="D4836" s="2">
        <v>42437</v>
      </c>
      <c r="E4836" s="1" t="s">
        <v>18</v>
      </c>
      <c r="F4836" t="str">
        <f>HYPERLINK("http://www.sec.gov/Archives/edgar/data/1056087/0001558370-16-003878-index.html")</f>
        <v>http://www.sec.gov/Archives/edgar/data/1056087/0001558370-16-003878-index.html</v>
      </c>
    </row>
    <row r="4837" spans="1:6" x14ac:dyDescent="0.2">
      <c r="A4837" t="s">
        <v>4373</v>
      </c>
      <c r="B4837" s="1">
        <v>1063197</v>
      </c>
      <c r="C4837" s="1">
        <v>3714</v>
      </c>
      <c r="D4837" s="2">
        <v>42437</v>
      </c>
      <c r="E4837" s="1" t="s">
        <v>18</v>
      </c>
      <c r="F4837" t="str">
        <f>HYPERLINK("http://www.sec.gov/Archives/edgar/data/1063197/0001437749-16-027048-index.html")</f>
        <v>http://www.sec.gov/Archives/edgar/data/1063197/0001437749-16-027048-index.html</v>
      </c>
    </row>
    <row r="4838" spans="1:6" x14ac:dyDescent="0.2">
      <c r="A4838" t="s">
        <v>4374</v>
      </c>
      <c r="B4838" s="1">
        <v>1078099</v>
      </c>
      <c r="C4838" s="1">
        <v>7310</v>
      </c>
      <c r="D4838" s="2">
        <v>42437</v>
      </c>
      <c r="E4838" s="1" t="s">
        <v>18</v>
      </c>
      <c r="F4838" t="str">
        <f>HYPERLINK("http://www.sec.gov/Archives/edgar/data/1078099/0001437749-16-027069-index.html")</f>
        <v>http://www.sec.gov/Archives/edgar/data/1078099/0001437749-16-027069-index.html</v>
      </c>
    </row>
    <row r="4839" spans="1:6" x14ac:dyDescent="0.2">
      <c r="A4839" t="s">
        <v>4375</v>
      </c>
      <c r="B4839" s="1">
        <v>1080340</v>
      </c>
      <c r="C4839" s="1">
        <v>6798</v>
      </c>
      <c r="D4839" s="2">
        <v>42437</v>
      </c>
      <c r="E4839" s="1" t="s">
        <v>18</v>
      </c>
      <c r="F4839" t="str">
        <f>HYPERLINK("http://www.sec.gov/Archives/edgar/data/1080340/0001144204-16-086636-index.html")</f>
        <v>http://www.sec.gov/Archives/edgar/data/1080340/0001144204-16-086636-index.html</v>
      </c>
    </row>
    <row r="4840" spans="1:6" x14ac:dyDescent="0.2">
      <c r="A4840" t="s">
        <v>4376</v>
      </c>
      <c r="B4840" s="1">
        <v>1092662</v>
      </c>
      <c r="C4840" s="1">
        <v>2834</v>
      </c>
      <c r="D4840" s="2">
        <v>42437</v>
      </c>
      <c r="E4840" s="1" t="s">
        <v>18</v>
      </c>
      <c r="F4840" t="str">
        <f>HYPERLINK("http://www.sec.gov/Archives/edgar/data/1092662/0001092662-16-000121-index.html")</f>
        <v>http://www.sec.gov/Archives/edgar/data/1092662/0001092662-16-000121-index.html</v>
      </c>
    </row>
    <row r="4841" spans="1:6" x14ac:dyDescent="0.2">
      <c r="A4841" t="s">
        <v>4377</v>
      </c>
      <c r="B4841" s="1">
        <v>1100917</v>
      </c>
      <c r="C4841" s="1">
        <v>7389</v>
      </c>
      <c r="D4841" s="2">
        <v>42437</v>
      </c>
      <c r="E4841" s="1" t="s">
        <v>18</v>
      </c>
      <c r="F4841" t="str">
        <f>HYPERLINK("http://www.sec.gov/Archives/edgar/data/1100917/0001171843-16-008443-index.html")</f>
        <v>http://www.sec.gov/Archives/edgar/data/1100917/0001171843-16-008443-index.html</v>
      </c>
    </row>
    <row r="4842" spans="1:6" x14ac:dyDescent="0.2">
      <c r="A4842" t="s">
        <v>4378</v>
      </c>
      <c r="B4842" s="1">
        <v>1130713</v>
      </c>
      <c r="C4842" s="1">
        <v>5961</v>
      </c>
      <c r="D4842" s="2">
        <v>42437</v>
      </c>
      <c r="E4842" s="1" t="s">
        <v>18</v>
      </c>
      <c r="F4842" t="str">
        <f>HYPERLINK("http://www.sec.gov/Archives/edgar/data/1130713/0001130713-16-000071-index.html")</f>
        <v>http://www.sec.gov/Archives/edgar/data/1130713/0001130713-16-000071-index.html</v>
      </c>
    </row>
    <row r="4843" spans="1:6" x14ac:dyDescent="0.2">
      <c r="A4843" t="s">
        <v>4379</v>
      </c>
      <c r="B4843" s="1">
        <v>1200375</v>
      </c>
      <c r="C4843" s="1">
        <v>2860</v>
      </c>
      <c r="D4843" s="2">
        <v>42437</v>
      </c>
      <c r="E4843" s="1" t="s">
        <v>18</v>
      </c>
      <c r="F4843" t="str">
        <f>HYPERLINK("http://www.sec.gov/Archives/edgar/data/1200375/0001200375-16-000052-index.html")</f>
        <v>http://www.sec.gov/Archives/edgar/data/1200375/0001200375-16-000052-index.html</v>
      </c>
    </row>
    <row r="4844" spans="1:6" x14ac:dyDescent="0.2">
      <c r="A4844" t="s">
        <v>4380</v>
      </c>
      <c r="B4844" s="1">
        <v>1235007</v>
      </c>
      <c r="C4844" s="1">
        <v>2834</v>
      </c>
      <c r="D4844" s="2">
        <v>42437</v>
      </c>
      <c r="E4844" s="1" t="s">
        <v>18</v>
      </c>
      <c r="F4844" t="str">
        <f>HYPERLINK("http://www.sec.gov/Archives/edgar/data/1235007/0001144204-16-086648-index.html")</f>
        <v>http://www.sec.gov/Archives/edgar/data/1235007/0001144204-16-086648-index.html</v>
      </c>
    </row>
    <row r="4845" spans="1:6" x14ac:dyDescent="0.2">
      <c r="A4845" t="s">
        <v>4381</v>
      </c>
      <c r="B4845" s="1">
        <v>1265107</v>
      </c>
      <c r="C4845" s="1">
        <v>7380</v>
      </c>
      <c r="D4845" s="2">
        <v>42437</v>
      </c>
      <c r="E4845" s="1" t="s">
        <v>18</v>
      </c>
      <c r="F4845" t="str">
        <f>HYPERLINK("http://www.sec.gov/Archives/edgar/data/1265107/0001265107-16-000052-index.html")</f>
        <v>http://www.sec.gov/Archives/edgar/data/1265107/0001265107-16-000052-index.html</v>
      </c>
    </row>
    <row r="4846" spans="1:6" x14ac:dyDescent="0.2">
      <c r="A4846" t="s">
        <v>4382</v>
      </c>
      <c r="B4846" s="1">
        <v>1280776</v>
      </c>
      <c r="C4846" s="1">
        <v>2834</v>
      </c>
      <c r="D4846" s="2">
        <v>42437</v>
      </c>
      <c r="E4846" s="1" t="s">
        <v>18</v>
      </c>
      <c r="F4846" t="str">
        <f>HYPERLINK("http://www.sec.gov/Archives/edgar/data/1280776/0001628280-16-012388-index.html")</f>
        <v>http://www.sec.gov/Archives/edgar/data/1280776/0001628280-16-012388-index.html</v>
      </c>
    </row>
    <row r="4847" spans="1:6" x14ac:dyDescent="0.2">
      <c r="A4847" t="s">
        <v>4383</v>
      </c>
      <c r="B4847" s="1">
        <v>1296205</v>
      </c>
      <c r="C4847" s="1">
        <v>5900</v>
      </c>
      <c r="D4847" s="2">
        <v>42437</v>
      </c>
      <c r="E4847" s="1" t="s">
        <v>18</v>
      </c>
      <c r="F4847" t="str">
        <f>HYPERLINK("http://www.sec.gov/Archives/edgar/data/1296205/0001013762-16-001367-index.html")</f>
        <v>http://www.sec.gov/Archives/edgar/data/1296205/0001013762-16-001367-index.html</v>
      </c>
    </row>
    <row r="4848" spans="1:6" x14ac:dyDescent="0.2">
      <c r="A4848" t="s">
        <v>4384</v>
      </c>
      <c r="B4848" s="1">
        <v>1305323</v>
      </c>
      <c r="C4848" s="1">
        <v>8200</v>
      </c>
      <c r="D4848" s="2">
        <v>42437</v>
      </c>
      <c r="E4848" s="1" t="s">
        <v>18</v>
      </c>
      <c r="F4848" t="str">
        <f>HYPERLINK("http://www.sec.gov/Archives/edgar/data/1305323/0001305323-16-000084-index.html")</f>
        <v>http://www.sec.gov/Archives/edgar/data/1305323/0001305323-16-000084-index.html</v>
      </c>
    </row>
    <row r="4849" spans="1:6" x14ac:dyDescent="0.2">
      <c r="A4849" t="s">
        <v>4385</v>
      </c>
      <c r="B4849" s="1">
        <v>1310114</v>
      </c>
      <c r="C4849" s="1">
        <v>7389</v>
      </c>
      <c r="D4849" s="2">
        <v>42437</v>
      </c>
      <c r="E4849" s="1" t="s">
        <v>18</v>
      </c>
      <c r="F4849" t="str">
        <f>HYPERLINK("http://www.sec.gov/Archives/edgar/data/1310114/0001310114-16-000032-index.html")</f>
        <v>http://www.sec.gov/Archives/edgar/data/1310114/0001310114-16-000032-index.html</v>
      </c>
    </row>
    <row r="4850" spans="1:6" x14ac:dyDescent="0.2">
      <c r="A4850" t="s">
        <v>4386</v>
      </c>
      <c r="B4850" s="1">
        <v>1321732</v>
      </c>
      <c r="C4850" s="1">
        <v>3841</v>
      </c>
      <c r="D4850" s="2">
        <v>42437</v>
      </c>
      <c r="E4850" s="1" t="s">
        <v>18</v>
      </c>
      <c r="F4850" t="str">
        <f>HYPERLINK("http://www.sec.gov/Archives/edgar/data/1321732/0001628280-16-012417-index.html")</f>
        <v>http://www.sec.gov/Archives/edgar/data/1321732/0001628280-16-012417-index.html</v>
      </c>
    </row>
    <row r="4851" spans="1:6" x14ac:dyDescent="0.2">
      <c r="A4851" t="s">
        <v>4387</v>
      </c>
      <c r="B4851" s="1">
        <v>1326732</v>
      </c>
      <c r="C4851" s="1">
        <v>2834</v>
      </c>
      <c r="D4851" s="2">
        <v>42437</v>
      </c>
      <c r="E4851" s="1" t="s">
        <v>18</v>
      </c>
      <c r="F4851" t="str">
        <f>HYPERLINK("http://www.sec.gov/Archives/edgar/data/1326732/0001558370-16-003900-index.html")</f>
        <v>http://www.sec.gov/Archives/edgar/data/1326732/0001558370-16-003900-index.html</v>
      </c>
    </row>
    <row r="4852" spans="1:6" x14ac:dyDescent="0.2">
      <c r="A4852" t="s">
        <v>4388</v>
      </c>
      <c r="B4852" s="1">
        <v>1340127</v>
      </c>
      <c r="C4852" s="1">
        <v>7374</v>
      </c>
      <c r="D4852" s="2">
        <v>42437</v>
      </c>
      <c r="E4852" s="1" t="s">
        <v>18</v>
      </c>
      <c r="F4852" t="str">
        <f>HYPERLINK("http://www.sec.gov/Archives/edgar/data/1340127/0001340127-16-000153-index.html")</f>
        <v>http://www.sec.gov/Archives/edgar/data/1340127/0001340127-16-000153-index.html</v>
      </c>
    </row>
    <row r="4853" spans="1:6" x14ac:dyDescent="0.2">
      <c r="A4853" t="s">
        <v>4389</v>
      </c>
      <c r="B4853" s="1">
        <v>1362004</v>
      </c>
      <c r="C4853" s="1">
        <v>8742</v>
      </c>
      <c r="D4853" s="2">
        <v>42437</v>
      </c>
      <c r="E4853" s="1" t="s">
        <v>18</v>
      </c>
      <c r="F4853" t="str">
        <f>HYPERLINK("http://www.sec.gov/Archives/edgar/data/1362004/0001437749-16-027070-index.html")</f>
        <v>http://www.sec.gov/Archives/edgar/data/1362004/0001437749-16-027070-index.html</v>
      </c>
    </row>
    <row r="4854" spans="1:6" x14ac:dyDescent="0.2">
      <c r="A4854" t="s">
        <v>4390</v>
      </c>
      <c r="B4854" s="1">
        <v>1384072</v>
      </c>
      <c r="C4854" s="1">
        <v>1311</v>
      </c>
      <c r="D4854" s="2">
        <v>42437</v>
      </c>
      <c r="E4854" s="1" t="s">
        <v>18</v>
      </c>
      <c r="F4854" t="str">
        <f>HYPERLINK("http://www.sec.gov/Archives/edgar/data/1384072/0001384072-16-000138-index.html")</f>
        <v>http://www.sec.gov/Archives/edgar/data/1384072/0001384072-16-000138-index.html</v>
      </c>
    </row>
    <row r="4855" spans="1:6" x14ac:dyDescent="0.2">
      <c r="A4855" t="s">
        <v>4391</v>
      </c>
      <c r="B4855" s="1">
        <v>1388319</v>
      </c>
      <c r="C4855" s="1">
        <v>8731</v>
      </c>
      <c r="D4855" s="2">
        <v>42437</v>
      </c>
      <c r="E4855" s="1" t="s">
        <v>18</v>
      </c>
      <c r="F4855" t="str">
        <f>HYPERLINK("http://www.sec.gov/Archives/edgar/data/1388319/0001185185-16-003859-index.html")</f>
        <v>http://www.sec.gov/Archives/edgar/data/1388319/0001185185-16-003859-index.html</v>
      </c>
    </row>
    <row r="4856" spans="1:6" x14ac:dyDescent="0.2">
      <c r="A4856" t="s">
        <v>4392</v>
      </c>
      <c r="B4856" s="1">
        <v>1411579</v>
      </c>
      <c r="C4856" s="1">
        <v>7830</v>
      </c>
      <c r="D4856" s="2">
        <v>42437</v>
      </c>
      <c r="E4856" s="1" t="s">
        <v>18</v>
      </c>
      <c r="F4856" t="str">
        <f>HYPERLINK("http://www.sec.gov/Archives/edgar/data/1411579/0001047469-16-010880-index.html")</f>
        <v>http://www.sec.gov/Archives/edgar/data/1411579/0001047469-16-010880-index.html</v>
      </c>
    </row>
    <row r="4857" spans="1:6" x14ac:dyDescent="0.2">
      <c r="A4857" t="s">
        <v>4393</v>
      </c>
      <c r="B4857" s="1">
        <v>1413898</v>
      </c>
      <c r="C4857" s="1">
        <v>2711</v>
      </c>
      <c r="D4857" s="2">
        <v>42437</v>
      </c>
      <c r="E4857" s="1" t="s">
        <v>18</v>
      </c>
      <c r="F4857" t="str">
        <f>HYPERLINK("http://www.sec.gov/Archives/edgar/data/1413898/0001413898-16-000038-index.html")</f>
        <v>http://www.sec.gov/Archives/edgar/data/1413898/0001413898-16-000038-index.html</v>
      </c>
    </row>
    <row r="4858" spans="1:6" x14ac:dyDescent="0.2">
      <c r="A4858" t="s">
        <v>4394</v>
      </c>
      <c r="B4858" s="1">
        <v>1435049</v>
      </c>
      <c r="C4858" s="1">
        <v>2834</v>
      </c>
      <c r="D4858" s="2">
        <v>42437</v>
      </c>
      <c r="E4858" s="1" t="s">
        <v>18</v>
      </c>
      <c r="F4858" t="str">
        <f>HYPERLINK("http://www.sec.gov/Archives/edgar/data/1435049/0001564590-16-014215-index.html")</f>
        <v>http://www.sec.gov/Archives/edgar/data/1435049/0001564590-16-014215-index.html</v>
      </c>
    </row>
    <row r="4859" spans="1:6" x14ac:dyDescent="0.2">
      <c r="A4859" t="s">
        <v>4395</v>
      </c>
      <c r="B4859" s="1">
        <v>1469443</v>
      </c>
      <c r="C4859" s="1">
        <v>2870</v>
      </c>
      <c r="D4859" s="2">
        <v>42437</v>
      </c>
      <c r="E4859" s="1" t="s">
        <v>18</v>
      </c>
      <c r="F4859" t="str">
        <f>HYPERLINK("http://www.sec.gov/Archives/edgar/data/1469443/0001564590-16-014230-index.html")</f>
        <v>http://www.sec.gov/Archives/edgar/data/1469443/0001564590-16-014230-index.html</v>
      </c>
    </row>
    <row r="4860" spans="1:6" x14ac:dyDescent="0.2">
      <c r="A4860" t="s">
        <v>4396</v>
      </c>
      <c r="B4860" s="1">
        <v>1472091</v>
      </c>
      <c r="C4860" s="1">
        <v>2834</v>
      </c>
      <c r="D4860" s="2">
        <v>42437</v>
      </c>
      <c r="E4860" s="1" t="s">
        <v>18</v>
      </c>
      <c r="F4860" t="str">
        <f>HYPERLINK("http://www.sec.gov/Archives/edgar/data/1472091/0001140361-16-056994-index.html")</f>
        <v>http://www.sec.gov/Archives/edgar/data/1472091/0001140361-16-056994-index.html</v>
      </c>
    </row>
    <row r="4861" spans="1:6" x14ac:dyDescent="0.2">
      <c r="A4861" t="s">
        <v>4397</v>
      </c>
      <c r="B4861" s="1">
        <v>1487428</v>
      </c>
      <c r="C4861" s="1">
        <v>7373</v>
      </c>
      <c r="D4861" s="2">
        <v>42437</v>
      </c>
      <c r="E4861" s="1" t="s">
        <v>18</v>
      </c>
      <c r="F4861" t="str">
        <f>HYPERLINK("http://www.sec.gov/Archives/edgar/data/1487428/0001144204-16-086646-index.html")</f>
        <v>http://www.sec.gov/Archives/edgar/data/1487428/0001144204-16-086646-index.html</v>
      </c>
    </row>
    <row r="4862" spans="1:6" x14ac:dyDescent="0.2">
      <c r="A4862" t="s">
        <v>4398</v>
      </c>
      <c r="B4862" s="1">
        <v>1487986</v>
      </c>
      <c r="C4862" s="1">
        <v>4899</v>
      </c>
      <c r="D4862" s="2">
        <v>42437</v>
      </c>
      <c r="E4862" s="1" t="s">
        <v>18</v>
      </c>
      <c r="F4862" t="str">
        <f>HYPERLINK("http://www.sec.gov/Archives/edgar/data/1487986/0001558370-16-003884-index.html")</f>
        <v>http://www.sec.gov/Archives/edgar/data/1487986/0001558370-16-003884-index.html</v>
      </c>
    </row>
    <row r="4863" spans="1:6" x14ac:dyDescent="0.2">
      <c r="A4863" t="s">
        <v>4399</v>
      </c>
      <c r="B4863" s="1">
        <v>1491778</v>
      </c>
      <c r="C4863" s="1">
        <v>7310</v>
      </c>
      <c r="D4863" s="2">
        <v>42437</v>
      </c>
      <c r="E4863" s="1" t="s">
        <v>18</v>
      </c>
      <c r="F4863" t="str">
        <f>HYPERLINK("http://www.sec.gov/Archives/edgar/data/1491778/0001491778-16-000222-index.html")</f>
        <v>http://www.sec.gov/Archives/edgar/data/1491778/0001491778-16-000222-index.html</v>
      </c>
    </row>
    <row r="4864" spans="1:6" x14ac:dyDescent="0.2">
      <c r="A4864" t="s">
        <v>4400</v>
      </c>
      <c r="B4864" s="1">
        <v>1506928</v>
      </c>
      <c r="C4864" s="1">
        <v>3841</v>
      </c>
      <c r="D4864" s="2">
        <v>42437</v>
      </c>
      <c r="E4864" s="1" t="s">
        <v>18</v>
      </c>
      <c r="F4864" t="str">
        <f>HYPERLINK("http://www.sec.gov/Archives/edgar/data/1506928/0001104659-16-103101-index.html")</f>
        <v>http://www.sec.gov/Archives/edgar/data/1506928/0001104659-16-103101-index.html</v>
      </c>
    </row>
    <row r="4865" spans="1:6" x14ac:dyDescent="0.2">
      <c r="A4865" t="s">
        <v>4401</v>
      </c>
      <c r="B4865" s="1">
        <v>1513818</v>
      </c>
      <c r="C4865" s="1">
        <v>2834</v>
      </c>
      <c r="D4865" s="2">
        <v>42437</v>
      </c>
      <c r="E4865" s="1" t="s">
        <v>18</v>
      </c>
      <c r="F4865" t="str">
        <f>HYPERLINK("http://www.sec.gov/Archives/edgar/data/1513818/0001564590-16-014158-index.html")</f>
        <v>http://www.sec.gov/Archives/edgar/data/1513818/0001564590-16-014158-index.html</v>
      </c>
    </row>
    <row r="4866" spans="1:6" x14ac:dyDescent="0.2">
      <c r="A4866" t="s">
        <v>4402</v>
      </c>
      <c r="B4866" s="1">
        <v>1515069</v>
      </c>
      <c r="C4866" s="1">
        <v>6022</v>
      </c>
      <c r="D4866" s="2">
        <v>42437</v>
      </c>
      <c r="E4866" s="1" t="s">
        <v>18</v>
      </c>
      <c r="F4866" t="str">
        <f>HYPERLINK("http://www.sec.gov/Archives/edgar/data/1515069/0001437749-16-027034-index.html")</f>
        <v>http://www.sec.gov/Archives/edgar/data/1515069/0001437749-16-027034-index.html</v>
      </c>
    </row>
    <row r="4867" spans="1:6" x14ac:dyDescent="0.2">
      <c r="A4867" t="s">
        <v>4403</v>
      </c>
      <c r="B4867" s="1">
        <v>1528558</v>
      </c>
      <c r="C4867" s="1">
        <v>6500</v>
      </c>
      <c r="D4867" s="2">
        <v>42437</v>
      </c>
      <c r="E4867" s="1" t="s">
        <v>18</v>
      </c>
      <c r="F4867" t="str">
        <f>HYPERLINK("http://www.sec.gov/Archives/edgar/data/1528558/0001628280-16-012359-index.html")</f>
        <v>http://www.sec.gov/Archives/edgar/data/1528558/0001628280-16-012359-index.html</v>
      </c>
    </row>
    <row r="4868" spans="1:6" x14ac:dyDescent="0.2">
      <c r="A4868" t="s">
        <v>4404</v>
      </c>
      <c r="B4868" s="1">
        <v>1544229</v>
      </c>
      <c r="C4868" s="1">
        <v>8711</v>
      </c>
      <c r="D4868" s="2">
        <v>42437</v>
      </c>
      <c r="E4868" s="1" t="s">
        <v>18</v>
      </c>
      <c r="F4868" t="str">
        <f>HYPERLINK("http://www.sec.gov/Archives/edgar/data/1544229/0001544229-16-000063-index.html")</f>
        <v>http://www.sec.gov/Archives/edgar/data/1544229/0001544229-16-000063-index.html</v>
      </c>
    </row>
    <row r="4869" spans="1:6" x14ac:dyDescent="0.2">
      <c r="A4869" t="s">
        <v>4405</v>
      </c>
      <c r="B4869" s="1">
        <v>1561387</v>
      </c>
      <c r="C4869" s="1">
        <v>6411</v>
      </c>
      <c r="D4869" s="2">
        <v>42437</v>
      </c>
      <c r="E4869" s="1" t="s">
        <v>18</v>
      </c>
      <c r="F4869" t="str">
        <f>HYPERLINK("http://www.sec.gov/Archives/edgar/data/1561387/0001564590-16-014141-index.html")</f>
        <v>http://www.sec.gov/Archives/edgar/data/1561387/0001564590-16-014141-index.html</v>
      </c>
    </row>
    <row r="4870" spans="1:6" x14ac:dyDescent="0.2">
      <c r="A4870" t="s">
        <v>4406</v>
      </c>
      <c r="B4870" s="1">
        <v>1571329</v>
      </c>
      <c r="C4870" s="1">
        <v>4841</v>
      </c>
      <c r="D4870" s="2">
        <v>42437</v>
      </c>
      <c r="E4870" s="1" t="s">
        <v>18</v>
      </c>
      <c r="F4870" t="str">
        <f>HYPERLINK("http://www.sec.gov/Archives/edgar/data/1571329/0001144204-16-086649-index.html")</f>
        <v>http://www.sec.gov/Archives/edgar/data/1571329/0001144204-16-086649-index.html</v>
      </c>
    </row>
    <row r="4871" spans="1:6" x14ac:dyDescent="0.2">
      <c r="A4871" t="s">
        <v>4407</v>
      </c>
      <c r="B4871" s="1">
        <v>1579252</v>
      </c>
      <c r="C4871" s="1">
        <v>3990</v>
      </c>
      <c r="D4871" s="2">
        <v>42437</v>
      </c>
      <c r="E4871" s="1" t="s">
        <v>18</v>
      </c>
      <c r="F4871" t="str">
        <f>HYPERLINK("http://www.sec.gov/Archives/edgar/data/1579252/0001579252-16-000155-index.html")</f>
        <v>http://www.sec.gov/Archives/edgar/data/1579252/0001579252-16-000155-index.html</v>
      </c>
    </row>
    <row r="4872" spans="1:6" x14ac:dyDescent="0.2">
      <c r="A4872" t="s">
        <v>4408</v>
      </c>
      <c r="B4872" s="1">
        <v>1582313</v>
      </c>
      <c r="C4872" s="1">
        <v>2834</v>
      </c>
      <c r="D4872" s="2">
        <v>42437</v>
      </c>
      <c r="E4872" s="1" t="s">
        <v>18</v>
      </c>
      <c r="F4872" t="str">
        <f>HYPERLINK("http://www.sec.gov/Archives/edgar/data/1582313/0001564590-16-014222-index.html")</f>
        <v>http://www.sec.gov/Archives/edgar/data/1582313/0001564590-16-014222-index.html</v>
      </c>
    </row>
    <row r="4873" spans="1:6" x14ac:dyDescent="0.2">
      <c r="A4873" t="s">
        <v>4409</v>
      </c>
      <c r="B4873" s="1">
        <v>1585583</v>
      </c>
      <c r="C4873" s="1">
        <v>5812</v>
      </c>
      <c r="D4873" s="2">
        <v>42437</v>
      </c>
      <c r="E4873" s="1" t="s">
        <v>18</v>
      </c>
      <c r="F4873" t="str">
        <f>HYPERLINK("http://www.sec.gov/Archives/edgar/data/1585583/0001585583-16-000016-index.html")</f>
        <v>http://www.sec.gov/Archives/edgar/data/1585583/0001585583-16-000016-index.html</v>
      </c>
    </row>
    <row r="4874" spans="1:6" x14ac:dyDescent="0.2">
      <c r="A4874" t="s">
        <v>4410</v>
      </c>
      <c r="B4874" s="1">
        <v>1585854</v>
      </c>
      <c r="C4874" s="1">
        <v>3674</v>
      </c>
      <c r="D4874" s="2">
        <v>42437</v>
      </c>
      <c r="E4874" s="1" t="s">
        <v>18</v>
      </c>
      <c r="F4874" t="str">
        <f>HYPERLINK("http://www.sec.gov/Archives/edgar/data/1585854/0001585854-16-000093-index.html")</f>
        <v>http://www.sec.gov/Archives/edgar/data/1585854/0001585854-16-000093-index.html</v>
      </c>
    </row>
    <row r="4875" spans="1:6" x14ac:dyDescent="0.2">
      <c r="A4875" t="s">
        <v>4411</v>
      </c>
      <c r="B4875" s="1">
        <v>1592057</v>
      </c>
      <c r="C4875" s="1">
        <v>2400</v>
      </c>
      <c r="D4875" s="2">
        <v>42437</v>
      </c>
      <c r="E4875" s="1" t="s">
        <v>18</v>
      </c>
      <c r="F4875" t="str">
        <f>HYPERLINK("http://www.sec.gov/Archives/edgar/data/1592057/0001047469-16-010850-index.html")</f>
        <v>http://www.sec.gov/Archives/edgar/data/1592057/0001047469-16-010850-index.html</v>
      </c>
    </row>
    <row r="4876" spans="1:6" x14ac:dyDescent="0.2">
      <c r="A4876" t="s">
        <v>4412</v>
      </c>
      <c r="B4876" s="1">
        <v>1598665</v>
      </c>
      <c r="C4876" s="1">
        <v>6331</v>
      </c>
      <c r="D4876" s="2">
        <v>42437</v>
      </c>
      <c r="E4876" s="1" t="s">
        <v>18</v>
      </c>
      <c r="F4876" t="str">
        <f>HYPERLINK("http://www.sec.gov/Archives/edgar/data/1598665/0001564590-16-014232-index.html")</f>
        <v>http://www.sec.gov/Archives/edgar/data/1598665/0001564590-16-014232-index.html</v>
      </c>
    </row>
    <row r="4877" spans="1:6" x14ac:dyDescent="0.2">
      <c r="A4877" t="s">
        <v>4413</v>
      </c>
      <c r="B4877" s="1">
        <v>1604665</v>
      </c>
      <c r="C4877" s="1">
        <v>2860</v>
      </c>
      <c r="D4877" s="2">
        <v>42437</v>
      </c>
      <c r="E4877" s="1" t="s">
        <v>18</v>
      </c>
      <c r="F4877" t="str">
        <f>HYPERLINK("http://www.sec.gov/Archives/edgar/data/1604665/0001604665-16-000033-index.html")</f>
        <v>http://www.sec.gov/Archives/edgar/data/1604665/0001604665-16-000033-index.html</v>
      </c>
    </row>
    <row r="4878" spans="1:6" x14ac:dyDescent="0.2">
      <c r="A4878" t="s">
        <v>4414</v>
      </c>
      <c r="B4878" s="1">
        <v>1607678</v>
      </c>
      <c r="C4878" s="1">
        <v>2834</v>
      </c>
      <c r="D4878" s="2">
        <v>42437</v>
      </c>
      <c r="E4878" s="1" t="s">
        <v>18</v>
      </c>
      <c r="F4878" t="str">
        <f>HYPERLINK("http://www.sec.gov/Archives/edgar/data/1607678/0001564590-16-014212-index.html")</f>
        <v>http://www.sec.gov/Archives/edgar/data/1607678/0001564590-16-014212-index.html</v>
      </c>
    </row>
    <row r="4879" spans="1:6" x14ac:dyDescent="0.2">
      <c r="A4879" t="s">
        <v>4415</v>
      </c>
      <c r="B4879" s="1">
        <v>1615219</v>
      </c>
      <c r="C4879" s="1">
        <v>2834</v>
      </c>
      <c r="D4879" s="2">
        <v>42437</v>
      </c>
      <c r="E4879" s="1" t="s">
        <v>18</v>
      </c>
      <c r="F4879" t="str">
        <f>HYPERLINK("http://www.sec.gov/Archives/edgar/data/1615219/0001615219-16-000118-index.html")</f>
        <v>http://www.sec.gov/Archives/edgar/data/1615219/0001615219-16-000118-index.html</v>
      </c>
    </row>
    <row r="4880" spans="1:6" x14ac:dyDescent="0.2">
      <c r="A4880" t="s">
        <v>4416</v>
      </c>
      <c r="B4880" s="1">
        <v>1617667</v>
      </c>
      <c r="C4880" s="1">
        <v>7359</v>
      </c>
      <c r="D4880" s="2">
        <v>42437</v>
      </c>
      <c r="E4880" s="1" t="s">
        <v>18</v>
      </c>
      <c r="F4880" t="str">
        <f>HYPERLINK("http://www.sec.gov/Archives/edgar/data/1617667/0001617667-16-000040-index.html")</f>
        <v>http://www.sec.gov/Archives/edgar/data/1617667/0001617667-16-000040-index.html</v>
      </c>
    </row>
    <row r="4881" spans="1:6" x14ac:dyDescent="0.2">
      <c r="A4881" t="s">
        <v>4417</v>
      </c>
      <c r="B4881" s="1">
        <v>1621434</v>
      </c>
      <c r="C4881" s="1">
        <v>1311</v>
      </c>
      <c r="D4881" s="2">
        <v>42437</v>
      </c>
      <c r="E4881" s="1" t="s">
        <v>18</v>
      </c>
      <c r="F4881" t="str">
        <f>HYPERLINK("http://www.sec.gov/Archives/edgar/data/1621434/0001564590-16-014218-index.html")</f>
        <v>http://www.sec.gov/Archives/edgar/data/1621434/0001564590-16-014218-index.html</v>
      </c>
    </row>
    <row r="4882" spans="1:6" x14ac:dyDescent="0.2">
      <c r="A4882" t="s">
        <v>4418</v>
      </c>
      <c r="B4882" s="1">
        <v>1626199</v>
      </c>
      <c r="C4882" s="1">
        <v>2834</v>
      </c>
      <c r="D4882" s="2">
        <v>42437</v>
      </c>
      <c r="E4882" s="1" t="s">
        <v>18</v>
      </c>
      <c r="F4882" t="str">
        <f>HYPERLINK("http://www.sec.gov/Archives/edgar/data/1626199/0001558370-16-003896-index.html")</f>
        <v>http://www.sec.gov/Archives/edgar/data/1626199/0001558370-16-003896-index.html</v>
      </c>
    </row>
    <row r="4883" spans="1:6" x14ac:dyDescent="0.2">
      <c r="A4883" t="s">
        <v>4419</v>
      </c>
      <c r="B4883" s="1">
        <v>314489</v>
      </c>
      <c r="C4883" s="1">
        <v>6022</v>
      </c>
      <c r="D4883" s="2">
        <v>42437</v>
      </c>
      <c r="E4883" s="1" t="s">
        <v>18</v>
      </c>
      <c r="F4883" t="str">
        <f>HYPERLINK("http://www.sec.gov/Archives/edgar/data/314489/0001104659-16-103355-index.html")</f>
        <v>http://www.sec.gov/Archives/edgar/data/314489/0001104659-16-103355-index.html</v>
      </c>
    </row>
    <row r="4884" spans="1:6" x14ac:dyDescent="0.2">
      <c r="A4884" t="s">
        <v>4420</v>
      </c>
      <c r="B4884" s="1">
        <v>356130</v>
      </c>
      <c r="C4884" s="1">
        <v>6331</v>
      </c>
      <c r="D4884" s="2">
        <v>42437</v>
      </c>
      <c r="E4884" s="1" t="s">
        <v>18</v>
      </c>
      <c r="F4884" t="str">
        <f>HYPERLINK("http://www.sec.gov/Archives/edgar/data/356130/0000356130-16-000235-index.html")</f>
        <v>http://www.sec.gov/Archives/edgar/data/356130/0000356130-16-000235-index.html</v>
      </c>
    </row>
    <row r="4885" spans="1:6" x14ac:dyDescent="0.2">
      <c r="A4885" t="s">
        <v>4421</v>
      </c>
      <c r="B4885" s="1">
        <v>59440</v>
      </c>
      <c r="C4885" s="1">
        <v>2111</v>
      </c>
      <c r="D4885" s="2">
        <v>42437</v>
      </c>
      <c r="E4885" s="1" t="s">
        <v>18</v>
      </c>
      <c r="F4885" t="str">
        <f>HYPERLINK("http://www.sec.gov/Archives/edgar/data/59440/0000059440-16-000072-index.html")</f>
        <v>http://www.sec.gov/Archives/edgar/data/59440/0000059440-16-000072-index.html</v>
      </c>
    </row>
    <row r="4886" spans="1:6" x14ac:dyDescent="0.2">
      <c r="A4886" t="s">
        <v>4422</v>
      </c>
      <c r="B4886" s="1">
        <v>65770</v>
      </c>
      <c r="C4886" s="1">
        <v>3679</v>
      </c>
      <c r="D4886" s="2">
        <v>42437</v>
      </c>
      <c r="E4886" s="1" t="s">
        <v>18</v>
      </c>
      <c r="F4886" t="str">
        <f>HYPERLINK("http://www.sec.gov/Archives/edgar/data/65770/0001136261-16-000410-index.html")</f>
        <v>http://www.sec.gov/Archives/edgar/data/65770/0001136261-16-000410-index.html</v>
      </c>
    </row>
    <row r="4887" spans="1:6" x14ac:dyDescent="0.2">
      <c r="A4887" t="s">
        <v>4423</v>
      </c>
      <c r="B4887" s="1">
        <v>702513</v>
      </c>
      <c r="C4887" s="1">
        <v>6022</v>
      </c>
      <c r="D4887" s="2">
        <v>42437</v>
      </c>
      <c r="E4887" s="1" t="s">
        <v>18</v>
      </c>
      <c r="F4887" t="str">
        <f>HYPERLINK("http://www.sec.gov/Archives/edgar/data/702513/0001437749-16-027040-index.html")</f>
        <v>http://www.sec.gov/Archives/edgar/data/702513/0001437749-16-027040-index.html</v>
      </c>
    </row>
    <row r="4888" spans="1:6" x14ac:dyDescent="0.2">
      <c r="A4888" t="s">
        <v>4424</v>
      </c>
      <c r="B4888" s="1">
        <v>705432</v>
      </c>
      <c r="C4888" s="1">
        <v>6022</v>
      </c>
      <c r="D4888" s="2">
        <v>42437</v>
      </c>
      <c r="E4888" s="1" t="s">
        <v>18</v>
      </c>
      <c r="F4888" t="str">
        <f>HYPERLINK("http://www.sec.gov/Archives/edgar/data/705432/0000705432-16-000151-index.html")</f>
        <v>http://www.sec.gov/Archives/edgar/data/705432/0000705432-16-000151-index.html</v>
      </c>
    </row>
    <row r="4889" spans="1:6" x14ac:dyDescent="0.2">
      <c r="A4889" t="s">
        <v>4425</v>
      </c>
      <c r="B4889" s="1">
        <v>707605</v>
      </c>
      <c r="C4889" s="1">
        <v>6021</v>
      </c>
      <c r="D4889" s="2">
        <v>42437</v>
      </c>
      <c r="E4889" s="1" t="s">
        <v>18</v>
      </c>
      <c r="F4889" t="str">
        <f>HYPERLINK("http://www.sec.gov/Archives/edgar/data/707605/0001144204-16-086602-index.html")</f>
        <v>http://www.sec.gov/Archives/edgar/data/707605/0001144204-16-086602-index.html</v>
      </c>
    </row>
    <row r="4890" spans="1:6" x14ac:dyDescent="0.2">
      <c r="A4890" t="s">
        <v>4426</v>
      </c>
      <c r="B4890" s="1">
        <v>723533</v>
      </c>
      <c r="C4890" s="1">
        <v>7372</v>
      </c>
      <c r="D4890" s="2">
        <v>42437</v>
      </c>
      <c r="E4890" s="1" t="s">
        <v>18</v>
      </c>
      <c r="F4890" t="str">
        <f>HYPERLINK("http://www.sec.gov/Archives/edgar/data/723533/0001551163-16-000313-index.html")</f>
        <v>http://www.sec.gov/Archives/edgar/data/723533/0001551163-16-000313-index.html</v>
      </c>
    </row>
    <row r="4891" spans="1:6" x14ac:dyDescent="0.2">
      <c r="A4891" t="s">
        <v>4427</v>
      </c>
      <c r="B4891" s="1">
        <v>726601</v>
      </c>
      <c r="C4891" s="1">
        <v>6022</v>
      </c>
      <c r="D4891" s="2">
        <v>42437</v>
      </c>
      <c r="E4891" s="1" t="s">
        <v>18</v>
      </c>
      <c r="F4891" t="str">
        <f>HYPERLINK("http://www.sec.gov/Archives/edgar/data/726601/0000726601-16-000034-index.html")</f>
        <v>http://www.sec.gov/Archives/edgar/data/726601/0000726601-16-000034-index.html</v>
      </c>
    </row>
    <row r="4892" spans="1:6" x14ac:dyDescent="0.2">
      <c r="A4892" t="s">
        <v>4428</v>
      </c>
      <c r="B4892" s="1">
        <v>737468</v>
      </c>
      <c r="C4892" s="1">
        <v>6022</v>
      </c>
      <c r="D4892" s="2">
        <v>42437</v>
      </c>
      <c r="E4892" s="1" t="s">
        <v>18</v>
      </c>
      <c r="F4892" t="str">
        <f>HYPERLINK("http://www.sec.gov/Archives/edgar/data/737468/0000737468-16-000199-index.html")</f>
        <v>http://www.sec.gov/Archives/edgar/data/737468/0000737468-16-000199-index.html</v>
      </c>
    </row>
    <row r="4893" spans="1:6" x14ac:dyDescent="0.2">
      <c r="A4893" t="s">
        <v>4429</v>
      </c>
      <c r="B4893" s="1">
        <v>751978</v>
      </c>
      <c r="C4893" s="1">
        <v>3679</v>
      </c>
      <c r="D4893" s="2">
        <v>42437</v>
      </c>
      <c r="E4893" s="1" t="s">
        <v>18</v>
      </c>
      <c r="F4893" t="str">
        <f>HYPERLINK("http://www.sec.gov/Archives/edgar/data/751978/0001193125-16-496705-index.html")</f>
        <v>http://www.sec.gov/Archives/edgar/data/751978/0001193125-16-496705-index.html</v>
      </c>
    </row>
    <row r="4894" spans="1:6" x14ac:dyDescent="0.2">
      <c r="A4894" t="s">
        <v>4430</v>
      </c>
      <c r="B4894" s="1">
        <v>806279</v>
      </c>
      <c r="C4894" s="1">
        <v>6035</v>
      </c>
      <c r="D4894" s="2">
        <v>42437</v>
      </c>
      <c r="E4894" s="1" t="s">
        <v>18</v>
      </c>
      <c r="F4894" t="str">
        <f>HYPERLINK("http://www.sec.gov/Archives/edgar/data/806279/0000897101-16-001967-index.html")</f>
        <v>http://www.sec.gov/Archives/edgar/data/806279/0000897101-16-001967-index.html</v>
      </c>
    </row>
    <row r="4895" spans="1:6" x14ac:dyDescent="0.2">
      <c r="A4895" t="s">
        <v>4431</v>
      </c>
      <c r="B4895" s="1">
        <v>826675</v>
      </c>
      <c r="C4895" s="1">
        <v>6798</v>
      </c>
      <c r="D4895" s="2">
        <v>42437</v>
      </c>
      <c r="E4895" s="1" t="s">
        <v>18</v>
      </c>
      <c r="F4895" t="str">
        <f>HYPERLINK("http://www.sec.gov/Archives/edgar/data/826675/0000826675-16-000037-index.html")</f>
        <v>http://www.sec.gov/Archives/edgar/data/826675/0000826675-16-000037-index.html</v>
      </c>
    </row>
    <row r="4896" spans="1:6" x14ac:dyDescent="0.2">
      <c r="A4896" t="s">
        <v>4432</v>
      </c>
      <c r="B4896" s="1">
        <v>862831</v>
      </c>
      <c r="C4896" s="1">
        <v>6021</v>
      </c>
      <c r="D4896" s="2">
        <v>42437</v>
      </c>
      <c r="E4896" s="1" t="s">
        <v>18</v>
      </c>
      <c r="F4896" t="str">
        <f>HYPERLINK("http://www.sec.gov/Archives/edgar/data/862831/0001193125-16-496738-index.html")</f>
        <v>http://www.sec.gov/Archives/edgar/data/862831/0001193125-16-496738-index.html</v>
      </c>
    </row>
    <row r="4897" spans="1:6" x14ac:dyDescent="0.2">
      <c r="A4897" t="s">
        <v>1381</v>
      </c>
      <c r="B4897" s="1">
        <v>897429</v>
      </c>
      <c r="C4897" s="1">
        <v>5621</v>
      </c>
      <c r="D4897" s="2">
        <v>42437</v>
      </c>
      <c r="E4897" s="1" t="s">
        <v>18</v>
      </c>
      <c r="F4897" t="str">
        <f>HYPERLINK("http://www.sec.gov/Archives/edgar/data/897429/0000897429-16-000311-index.html")</f>
        <v>http://www.sec.gov/Archives/edgar/data/897429/0000897429-16-000311-index.html</v>
      </c>
    </row>
    <row r="4898" spans="1:6" x14ac:dyDescent="0.2">
      <c r="A4898" t="s">
        <v>4433</v>
      </c>
      <c r="B4898" s="1">
        <v>908315</v>
      </c>
      <c r="C4898" s="1">
        <v>5900</v>
      </c>
      <c r="D4898" s="2">
        <v>42437</v>
      </c>
      <c r="E4898" s="1" t="s">
        <v>18</v>
      </c>
      <c r="F4898" t="str">
        <f>HYPERLINK("http://www.sec.gov/Archives/edgar/data/908315/0001104659-16-103213-index.html")</f>
        <v>http://www.sec.gov/Archives/edgar/data/908315/0001104659-16-103213-index.html</v>
      </c>
    </row>
    <row r="4899" spans="1:6" x14ac:dyDescent="0.2">
      <c r="A4899" t="s">
        <v>3773</v>
      </c>
      <c r="B4899" s="1">
        <v>921738</v>
      </c>
      <c r="C4899" s="1">
        <v>7011</v>
      </c>
      <c r="D4899" s="2">
        <v>42437</v>
      </c>
      <c r="E4899" s="1" t="s">
        <v>42</v>
      </c>
      <c r="F4899" t="str">
        <f>HYPERLINK("http://www.sec.gov/Archives/edgar/data/921738/0001047469-16-010837-index.html")</f>
        <v>http://www.sec.gov/Archives/edgar/data/921738/0001047469-16-010837-index.html</v>
      </c>
    </row>
    <row r="4900" spans="1:6" x14ac:dyDescent="0.2">
      <c r="A4900" t="s">
        <v>4434</v>
      </c>
      <c r="B4900" s="1">
        <v>944148</v>
      </c>
      <c r="C4900" s="1">
        <v>7389</v>
      </c>
      <c r="D4900" s="2">
        <v>42437</v>
      </c>
      <c r="E4900" s="1" t="s">
        <v>18</v>
      </c>
      <c r="F4900" t="str">
        <f>HYPERLINK("http://www.sec.gov/Archives/edgar/data/944148/0001193125-16-496744-index.html")</f>
        <v>http://www.sec.gov/Archives/edgar/data/944148/0001193125-16-496744-index.html</v>
      </c>
    </row>
    <row r="4901" spans="1:6" x14ac:dyDescent="0.2">
      <c r="A4901" t="s">
        <v>4435</v>
      </c>
      <c r="B4901" s="1">
        <v>96869</v>
      </c>
      <c r="C4901" s="1">
        <v>6500</v>
      </c>
      <c r="D4901" s="2">
        <v>42437</v>
      </c>
      <c r="E4901" s="1" t="s">
        <v>18</v>
      </c>
      <c r="F4901" t="str">
        <f>HYPERLINK("http://www.sec.gov/Archives/edgar/data/96869/0000096869-16-000013-index.html")</f>
        <v>http://www.sec.gov/Archives/edgar/data/96869/0000096869-16-000013-index.html</v>
      </c>
    </row>
    <row r="4902" spans="1:6" x14ac:dyDescent="0.2">
      <c r="A4902" t="s">
        <v>4436</v>
      </c>
      <c r="B4902" s="1">
        <v>1000209</v>
      </c>
      <c r="C4902" s="1">
        <v>6199</v>
      </c>
      <c r="D4902" s="2">
        <v>42436</v>
      </c>
      <c r="E4902" s="1" t="s">
        <v>18</v>
      </c>
      <c r="F4902" t="str">
        <f>HYPERLINK("http://www.sec.gov/Archives/edgar/data/1000209/0001193125-16-495428-index.html")</f>
        <v>http://www.sec.gov/Archives/edgar/data/1000209/0001193125-16-495428-index.html</v>
      </c>
    </row>
    <row r="4903" spans="1:6" x14ac:dyDescent="0.2">
      <c r="A4903" t="s">
        <v>4437</v>
      </c>
      <c r="B4903" s="1">
        <v>1042729</v>
      </c>
      <c r="C4903" s="1">
        <v>6022</v>
      </c>
      <c r="D4903" s="2">
        <v>42436</v>
      </c>
      <c r="E4903" s="1" t="s">
        <v>18</v>
      </c>
      <c r="F4903" t="str">
        <f>HYPERLINK("http://www.sec.gov/Archives/edgar/data/1042729/0001437749-16-026935-index.html")</f>
        <v>http://www.sec.gov/Archives/edgar/data/1042729/0001437749-16-026935-index.html</v>
      </c>
    </row>
    <row r="4904" spans="1:6" x14ac:dyDescent="0.2">
      <c r="A4904" t="s">
        <v>4438</v>
      </c>
      <c r="B4904" s="1">
        <v>1053352</v>
      </c>
      <c r="C4904" s="1">
        <v>6022</v>
      </c>
      <c r="D4904" s="2">
        <v>42436</v>
      </c>
      <c r="E4904" s="1" t="s">
        <v>18</v>
      </c>
      <c r="F4904" t="str">
        <f>HYPERLINK("http://www.sec.gov/Archives/edgar/data/1053352/0001047469-16-010796-index.html")</f>
        <v>http://www.sec.gov/Archives/edgar/data/1053352/0001047469-16-010796-index.html</v>
      </c>
    </row>
    <row r="4905" spans="1:6" x14ac:dyDescent="0.2">
      <c r="A4905" t="s">
        <v>4439</v>
      </c>
      <c r="B4905" s="1">
        <v>1069183</v>
      </c>
      <c r="C4905" s="1">
        <v>3480</v>
      </c>
      <c r="D4905" s="2">
        <v>42436</v>
      </c>
      <c r="E4905" s="1" t="s">
        <v>18</v>
      </c>
      <c r="F4905" t="str">
        <f>HYPERLINK("http://www.sec.gov/Archives/edgar/data/1069183/0001069183-16-000148-index.html")</f>
        <v>http://www.sec.gov/Archives/edgar/data/1069183/0001069183-16-000148-index.html</v>
      </c>
    </row>
    <row r="4906" spans="1:6" x14ac:dyDescent="0.2">
      <c r="A4906" t="s">
        <v>4440</v>
      </c>
      <c r="B4906" s="1">
        <v>1100441</v>
      </c>
      <c r="C4906" s="1">
        <v>3842</v>
      </c>
      <c r="D4906" s="2">
        <v>42436</v>
      </c>
      <c r="E4906" s="1" t="s">
        <v>18</v>
      </c>
      <c r="F4906" t="str">
        <f>HYPERLINK("http://www.sec.gov/Archives/edgar/data/1100441/0001193125-16-495394-index.html")</f>
        <v>http://www.sec.gov/Archives/edgar/data/1100441/0001193125-16-495394-index.html</v>
      </c>
    </row>
    <row r="4907" spans="1:6" x14ac:dyDescent="0.2">
      <c r="A4907" t="s">
        <v>4441</v>
      </c>
      <c r="B4907" s="1">
        <v>1104855</v>
      </c>
      <c r="C4907" s="1">
        <v>7374</v>
      </c>
      <c r="D4907" s="2">
        <v>42436</v>
      </c>
      <c r="E4907" s="1" t="s">
        <v>18</v>
      </c>
      <c r="F4907" t="str">
        <f>HYPERLINK("http://www.sec.gov/Archives/edgar/data/1104855/0001567619-16-001957-index.html")</f>
        <v>http://www.sec.gov/Archives/edgar/data/1104855/0001567619-16-001957-index.html</v>
      </c>
    </row>
    <row r="4908" spans="1:6" x14ac:dyDescent="0.2">
      <c r="A4908" t="s">
        <v>4442</v>
      </c>
      <c r="B4908" s="1">
        <v>1108524</v>
      </c>
      <c r="C4908" s="1">
        <v>7372</v>
      </c>
      <c r="D4908" s="2">
        <v>42436</v>
      </c>
      <c r="E4908" s="1" t="s">
        <v>18</v>
      </c>
      <c r="F4908" t="str">
        <f>HYPERLINK("http://www.sec.gov/Archives/edgar/data/1108524/0001108524-16-000053-index.html")</f>
        <v>http://www.sec.gov/Archives/edgar/data/1108524/0001108524-16-000053-index.html</v>
      </c>
    </row>
    <row r="4909" spans="1:6" x14ac:dyDescent="0.2">
      <c r="A4909" t="s">
        <v>4443</v>
      </c>
      <c r="B4909" s="1">
        <v>1141240</v>
      </c>
      <c r="C4909" s="1">
        <v>2800</v>
      </c>
      <c r="D4909" s="2">
        <v>42436</v>
      </c>
      <c r="E4909" s="1" t="s">
        <v>18</v>
      </c>
      <c r="F4909" t="str">
        <f>HYPERLINK("http://www.sec.gov/Archives/edgar/data/1141240/0001437749-16-026976-index.html")</f>
        <v>http://www.sec.gov/Archives/edgar/data/1141240/0001437749-16-026976-index.html</v>
      </c>
    </row>
    <row r="4910" spans="1:6" x14ac:dyDescent="0.2">
      <c r="A4910" t="s">
        <v>4444</v>
      </c>
      <c r="B4910" s="1">
        <v>1171825</v>
      </c>
      <c r="C4910" s="1">
        <v>6172</v>
      </c>
      <c r="D4910" s="2">
        <v>42436</v>
      </c>
      <c r="E4910" s="1" t="s">
        <v>18</v>
      </c>
      <c r="F4910" t="str">
        <f>HYPERLINK("http://www.sec.gov/Archives/edgar/data/1171825/0000891092-16-013044-index.html")</f>
        <v>http://www.sec.gov/Archives/edgar/data/1171825/0000891092-16-013044-index.html</v>
      </c>
    </row>
    <row r="4911" spans="1:6" x14ac:dyDescent="0.2">
      <c r="A4911" t="s">
        <v>4445</v>
      </c>
      <c r="B4911" s="1">
        <v>1174850</v>
      </c>
      <c r="C4911" s="1">
        <v>6021</v>
      </c>
      <c r="D4911" s="2">
        <v>42436</v>
      </c>
      <c r="E4911" s="1" t="s">
        <v>18</v>
      </c>
      <c r="F4911" t="str">
        <f>HYPERLINK("http://www.sec.gov/Archives/edgar/data/1174850/0001571049-16-012689-index.html")</f>
        <v>http://www.sec.gov/Archives/edgar/data/1174850/0001571049-16-012689-index.html</v>
      </c>
    </row>
    <row r="4912" spans="1:6" x14ac:dyDescent="0.2">
      <c r="A4912" t="s">
        <v>4446</v>
      </c>
      <c r="B4912" s="1">
        <v>1178253</v>
      </c>
      <c r="C4912" s="1">
        <v>2834</v>
      </c>
      <c r="D4912" s="2">
        <v>42436</v>
      </c>
      <c r="E4912" s="1" t="s">
        <v>18</v>
      </c>
      <c r="F4912" t="str">
        <f>HYPERLINK("http://www.sec.gov/Archives/edgar/data/1178253/0001178253-16-000144-index.html")</f>
        <v>http://www.sec.gov/Archives/edgar/data/1178253/0001178253-16-000144-index.html</v>
      </c>
    </row>
    <row r="4913" spans="1:6" x14ac:dyDescent="0.2">
      <c r="A4913" t="s">
        <v>4447</v>
      </c>
      <c r="B4913" s="1">
        <v>1224133</v>
      </c>
      <c r="C4913" s="1">
        <v>7389</v>
      </c>
      <c r="D4913" s="2">
        <v>42436</v>
      </c>
      <c r="E4913" s="1" t="s">
        <v>18</v>
      </c>
      <c r="F4913" t="str">
        <f>HYPERLINK("http://www.sec.gov/Archives/edgar/data/1224133/0001193125-16-495411-index.html")</f>
        <v>http://www.sec.gov/Archives/edgar/data/1224133/0001193125-16-495411-index.html</v>
      </c>
    </row>
    <row r="4914" spans="1:6" x14ac:dyDescent="0.2">
      <c r="A4914" t="s">
        <v>4448</v>
      </c>
      <c r="B4914" s="1">
        <v>1226308</v>
      </c>
      <c r="C4914" s="1">
        <v>6794</v>
      </c>
      <c r="D4914" s="2">
        <v>42436</v>
      </c>
      <c r="E4914" s="1" t="s">
        <v>18</v>
      </c>
      <c r="F4914" t="str">
        <f>HYPERLINK("http://www.sec.gov/Archives/edgar/data/1226308/0001628280-16-012340-index.html")</f>
        <v>http://www.sec.gov/Archives/edgar/data/1226308/0001628280-16-012340-index.html</v>
      </c>
    </row>
    <row r="4915" spans="1:6" x14ac:dyDescent="0.2">
      <c r="A4915" t="s">
        <v>4449</v>
      </c>
      <c r="B4915" s="1">
        <v>1267813</v>
      </c>
      <c r="C4915" s="1">
        <v>2834</v>
      </c>
      <c r="D4915" s="2">
        <v>42436</v>
      </c>
      <c r="E4915" s="1" t="s">
        <v>18</v>
      </c>
      <c r="F4915" t="str">
        <f>HYPERLINK("http://www.sec.gov/Archives/edgar/data/1267813/0001558370-16-003873-index.html")</f>
        <v>http://www.sec.gov/Archives/edgar/data/1267813/0001558370-16-003873-index.html</v>
      </c>
    </row>
    <row r="4916" spans="1:6" x14ac:dyDescent="0.2">
      <c r="A4916" t="s">
        <v>4450</v>
      </c>
      <c r="B4916" s="1">
        <v>1281774</v>
      </c>
      <c r="C4916" s="1">
        <v>7997</v>
      </c>
      <c r="D4916" s="2">
        <v>42436</v>
      </c>
      <c r="E4916" s="1" t="s">
        <v>18</v>
      </c>
      <c r="F4916" t="str">
        <f>HYPERLINK("http://www.sec.gov/Archives/edgar/data/1281774/0001628280-16-012332-index.html")</f>
        <v>http://www.sec.gov/Archives/edgar/data/1281774/0001628280-16-012332-index.html</v>
      </c>
    </row>
    <row r="4917" spans="1:6" x14ac:dyDescent="0.2">
      <c r="A4917" t="s">
        <v>4451</v>
      </c>
      <c r="B4917" s="1">
        <v>1324189</v>
      </c>
      <c r="C4917" s="1">
        <v>2621</v>
      </c>
      <c r="D4917" s="2">
        <v>42436</v>
      </c>
      <c r="E4917" s="1" t="s">
        <v>18</v>
      </c>
      <c r="F4917" t="str">
        <f>HYPERLINK("http://www.sec.gov/Archives/edgar/data/1324189/0001437749-16-026983-index.html")</f>
        <v>http://www.sec.gov/Archives/edgar/data/1324189/0001437749-16-026983-index.html</v>
      </c>
    </row>
    <row r="4918" spans="1:6" x14ac:dyDescent="0.2">
      <c r="A4918" t="s">
        <v>4452</v>
      </c>
      <c r="B4918" s="1">
        <v>1341141</v>
      </c>
      <c r="C4918" s="1">
        <v>6798</v>
      </c>
      <c r="D4918" s="2">
        <v>42436</v>
      </c>
      <c r="E4918" s="1" t="s">
        <v>18</v>
      </c>
      <c r="F4918" t="str">
        <f>HYPERLINK("http://www.sec.gov/Archives/edgar/data/1341141/0001341141-16-000064-index.html")</f>
        <v>http://www.sec.gov/Archives/edgar/data/1341141/0001341141-16-000064-index.html</v>
      </c>
    </row>
    <row r="4919" spans="1:6" x14ac:dyDescent="0.2">
      <c r="A4919" t="s">
        <v>4453</v>
      </c>
      <c r="B4919" s="1">
        <v>1342958</v>
      </c>
      <c r="C4919" s="1">
        <v>3663</v>
      </c>
      <c r="D4919" s="2">
        <v>42436</v>
      </c>
      <c r="E4919" s="1" t="s">
        <v>18</v>
      </c>
      <c r="F4919" t="str">
        <f>HYPERLINK("http://www.sec.gov/Archives/edgar/data/1342958/0001493152-16-007877-index.html")</f>
        <v>http://www.sec.gov/Archives/edgar/data/1342958/0001493152-16-007877-index.html</v>
      </c>
    </row>
    <row r="4920" spans="1:6" x14ac:dyDescent="0.2">
      <c r="A4920" t="s">
        <v>4454</v>
      </c>
      <c r="B4920" s="1">
        <v>1352190</v>
      </c>
      <c r="C4920" s="1">
        <v>1382</v>
      </c>
      <c r="D4920" s="2">
        <v>42436</v>
      </c>
      <c r="E4920" s="1" t="s">
        <v>18</v>
      </c>
      <c r="F4920" t="str">
        <f>HYPERLINK("http://www.sec.gov/Archives/edgar/data/1352190/0001214659-16-010103-index.html")</f>
        <v>http://www.sec.gov/Archives/edgar/data/1352190/0001214659-16-010103-index.html</v>
      </c>
    </row>
    <row r="4921" spans="1:6" x14ac:dyDescent="0.2">
      <c r="A4921" t="s">
        <v>4455</v>
      </c>
      <c r="B4921" s="1">
        <v>1364397</v>
      </c>
      <c r="C4921" s="1">
        <v>1382</v>
      </c>
      <c r="D4921" s="2">
        <v>42436</v>
      </c>
      <c r="E4921" s="1" t="s">
        <v>18</v>
      </c>
      <c r="F4921" t="str">
        <f>HYPERLINK("http://www.sec.gov/Archives/edgar/data/1364397/0001214659-16-010104-index.html")</f>
        <v>http://www.sec.gov/Archives/edgar/data/1364397/0001214659-16-010104-index.html</v>
      </c>
    </row>
    <row r="4922" spans="1:6" x14ac:dyDescent="0.2">
      <c r="A4922" t="s">
        <v>4456</v>
      </c>
      <c r="B4922" s="1">
        <v>1369786</v>
      </c>
      <c r="C4922" s="1">
        <v>2834</v>
      </c>
      <c r="D4922" s="2">
        <v>42436</v>
      </c>
      <c r="E4922" s="1" t="s">
        <v>18</v>
      </c>
      <c r="F4922" t="str">
        <f>HYPERLINK("http://www.sec.gov/Archives/edgar/data/1369786/0001193125-16-495377-index.html")</f>
        <v>http://www.sec.gov/Archives/edgar/data/1369786/0001193125-16-495377-index.html</v>
      </c>
    </row>
    <row r="4923" spans="1:6" x14ac:dyDescent="0.2">
      <c r="A4923" t="s">
        <v>4457</v>
      </c>
      <c r="B4923" s="1">
        <v>1412043</v>
      </c>
      <c r="C4923" s="1">
        <v>7372</v>
      </c>
      <c r="D4923" s="2">
        <v>42436</v>
      </c>
      <c r="E4923" s="1" t="s">
        <v>18</v>
      </c>
      <c r="F4923" t="str">
        <f>HYPERLINK("http://www.sec.gov/Archives/edgar/data/1412043/0001193125-16-495278-index.html")</f>
        <v>http://www.sec.gov/Archives/edgar/data/1412043/0001193125-16-495278-index.html</v>
      </c>
    </row>
    <row r="4924" spans="1:6" x14ac:dyDescent="0.2">
      <c r="A4924" t="s">
        <v>4458</v>
      </c>
      <c r="B4924" s="1">
        <v>1419242</v>
      </c>
      <c r="C4924" s="1">
        <v>4900</v>
      </c>
      <c r="D4924" s="2">
        <v>42436</v>
      </c>
      <c r="E4924" s="1" t="s">
        <v>18</v>
      </c>
      <c r="F4924" t="str">
        <f>HYPERLINK("http://www.sec.gov/Archives/edgar/data/1419242/0001558370-16-003867-index.html")</f>
        <v>http://www.sec.gov/Archives/edgar/data/1419242/0001558370-16-003867-index.html</v>
      </c>
    </row>
    <row r="4925" spans="1:6" x14ac:dyDescent="0.2">
      <c r="A4925" t="s">
        <v>4459</v>
      </c>
      <c r="B4925" s="1">
        <v>1427925</v>
      </c>
      <c r="C4925" s="1">
        <v>2834</v>
      </c>
      <c r="D4925" s="2">
        <v>42436</v>
      </c>
      <c r="E4925" s="1" t="s">
        <v>18</v>
      </c>
      <c r="F4925" t="str">
        <f>HYPERLINK("http://www.sec.gov/Archives/edgar/data/1427925/0001437749-16-026987-index.html")</f>
        <v>http://www.sec.gov/Archives/edgar/data/1427925/0001437749-16-026987-index.html</v>
      </c>
    </row>
    <row r="4926" spans="1:6" x14ac:dyDescent="0.2">
      <c r="A4926" t="s">
        <v>4016</v>
      </c>
      <c r="B4926" s="1">
        <v>1449488</v>
      </c>
      <c r="C4926" s="1">
        <v>1389</v>
      </c>
      <c r="D4926" s="2">
        <v>42436</v>
      </c>
      <c r="E4926" s="1" t="s">
        <v>18</v>
      </c>
      <c r="F4926" t="str">
        <f>HYPERLINK("http://www.sec.gov/Archives/edgar/data/1449488/0001449488-16-000090-index.html")</f>
        <v>http://www.sec.gov/Archives/edgar/data/1449488/0001449488-16-000090-index.html</v>
      </c>
    </row>
    <row r="4927" spans="1:6" x14ac:dyDescent="0.2">
      <c r="A4927" t="s">
        <v>4460</v>
      </c>
      <c r="B4927" s="1">
        <v>1469510</v>
      </c>
      <c r="C4927" s="1">
        <v>1311</v>
      </c>
      <c r="D4927" s="2">
        <v>42436</v>
      </c>
      <c r="E4927" s="1" t="s">
        <v>18</v>
      </c>
      <c r="F4927" t="str">
        <f>HYPERLINK("http://www.sec.gov/Archives/edgar/data/1469510/0001564590-16-014121-index.html")</f>
        <v>http://www.sec.gov/Archives/edgar/data/1469510/0001564590-16-014121-index.html</v>
      </c>
    </row>
    <row r="4928" spans="1:6" x14ac:dyDescent="0.2">
      <c r="A4928" t="s">
        <v>4461</v>
      </c>
      <c r="B4928" s="1">
        <v>1474903</v>
      </c>
      <c r="C4928" s="1">
        <v>7363</v>
      </c>
      <c r="D4928" s="2">
        <v>42436</v>
      </c>
      <c r="E4928" s="1" t="s">
        <v>18</v>
      </c>
      <c r="F4928" t="str">
        <f>HYPERLINK("http://www.sec.gov/Archives/edgar/data/1474903/0001474903-16-000092-index.html")</f>
        <v>http://www.sec.gov/Archives/edgar/data/1474903/0001474903-16-000092-index.html</v>
      </c>
    </row>
    <row r="4929" spans="1:6" x14ac:dyDescent="0.2">
      <c r="A4929" t="s">
        <v>4462</v>
      </c>
      <c r="B4929" s="1">
        <v>1493566</v>
      </c>
      <c r="C4929" s="1">
        <v>2834</v>
      </c>
      <c r="D4929" s="2">
        <v>42436</v>
      </c>
      <c r="E4929" s="1" t="s">
        <v>18</v>
      </c>
      <c r="F4929" t="str">
        <f>HYPERLINK("http://www.sec.gov/Archives/edgar/data/1493566/0001193125-16-495186-index.html")</f>
        <v>http://www.sec.gov/Archives/edgar/data/1493566/0001193125-16-495186-index.html</v>
      </c>
    </row>
    <row r="4930" spans="1:6" x14ac:dyDescent="0.2">
      <c r="A4930" t="s">
        <v>4463</v>
      </c>
      <c r="B4930" s="1">
        <v>1497033</v>
      </c>
      <c r="C4930" s="1">
        <v>6770</v>
      </c>
      <c r="D4930" s="2">
        <v>42436</v>
      </c>
      <c r="E4930" s="1" t="s">
        <v>42</v>
      </c>
      <c r="F4930" t="str">
        <f>HYPERLINK("http://www.sec.gov/Archives/edgar/data/1497033/0001213900-16-011363-index.html")</f>
        <v>http://www.sec.gov/Archives/edgar/data/1497033/0001213900-16-011363-index.html</v>
      </c>
    </row>
    <row r="4931" spans="1:6" x14ac:dyDescent="0.2">
      <c r="A4931" t="s">
        <v>4464</v>
      </c>
      <c r="B4931" s="1">
        <v>1501364</v>
      </c>
      <c r="C4931" s="1">
        <v>6036</v>
      </c>
      <c r="D4931" s="2">
        <v>42436</v>
      </c>
      <c r="E4931" s="1" t="s">
        <v>18</v>
      </c>
      <c r="F4931" t="str">
        <f>HYPERLINK("http://www.sec.gov/Archives/edgar/data/1501364/0001501364-16-000095-index.html")</f>
        <v>http://www.sec.gov/Archives/edgar/data/1501364/0001501364-16-000095-index.html</v>
      </c>
    </row>
    <row r="4932" spans="1:6" x14ac:dyDescent="0.2">
      <c r="A4932" t="s">
        <v>4465</v>
      </c>
      <c r="B4932" s="1">
        <v>1501989</v>
      </c>
      <c r="C4932" s="1">
        <v>2834</v>
      </c>
      <c r="D4932" s="2">
        <v>42436</v>
      </c>
      <c r="E4932" s="1" t="s">
        <v>18</v>
      </c>
      <c r="F4932" t="str">
        <f>HYPERLINK("http://www.sec.gov/Archives/edgar/data/1501989/0001564590-16-014091-index.html")</f>
        <v>http://www.sec.gov/Archives/edgar/data/1501989/0001564590-16-014091-index.html</v>
      </c>
    </row>
    <row r="4933" spans="1:6" x14ac:dyDescent="0.2">
      <c r="A4933" t="s">
        <v>4466</v>
      </c>
      <c r="B4933" s="1">
        <v>1513856</v>
      </c>
      <c r="C4933" s="1">
        <v>2834</v>
      </c>
      <c r="D4933" s="2">
        <v>42436</v>
      </c>
      <c r="E4933" s="1" t="s">
        <v>18</v>
      </c>
      <c r="F4933" t="str">
        <f>HYPERLINK("http://www.sec.gov/Archives/edgar/data/1513856/0001144204-16-086383-index.html")</f>
        <v>http://www.sec.gov/Archives/edgar/data/1513856/0001144204-16-086383-index.html</v>
      </c>
    </row>
    <row r="4934" spans="1:6" x14ac:dyDescent="0.2">
      <c r="A4934" t="s">
        <v>4467</v>
      </c>
      <c r="B4934" s="1">
        <v>1513965</v>
      </c>
      <c r="C4934" s="1">
        <v>4922</v>
      </c>
      <c r="D4934" s="2">
        <v>42436</v>
      </c>
      <c r="E4934" s="1" t="s">
        <v>18</v>
      </c>
      <c r="F4934" t="str">
        <f>HYPERLINK("http://www.sec.gov/Archives/edgar/data/1513965/0001513965-16-000182-index.html")</f>
        <v>http://www.sec.gov/Archives/edgar/data/1513965/0001513965-16-000182-index.html</v>
      </c>
    </row>
    <row r="4935" spans="1:6" x14ac:dyDescent="0.2">
      <c r="A4935" t="s">
        <v>4468</v>
      </c>
      <c r="B4935" s="1">
        <v>1529864</v>
      </c>
      <c r="C4935" s="1">
        <v>6141</v>
      </c>
      <c r="D4935" s="2">
        <v>42436</v>
      </c>
      <c r="E4935" s="1" t="s">
        <v>18</v>
      </c>
      <c r="F4935" t="str">
        <f>HYPERLINK("http://www.sec.gov/Archives/edgar/data/1529864/0001564590-16-014129-index.html")</f>
        <v>http://www.sec.gov/Archives/edgar/data/1529864/0001564590-16-014129-index.html</v>
      </c>
    </row>
    <row r="4936" spans="1:6" x14ac:dyDescent="0.2">
      <c r="A4936" t="s">
        <v>4469</v>
      </c>
      <c r="B4936" s="1">
        <v>1532750</v>
      </c>
      <c r="C4936" s="1">
        <v>1381</v>
      </c>
      <c r="D4936" s="2">
        <v>42436</v>
      </c>
      <c r="E4936" s="1" t="s">
        <v>18</v>
      </c>
      <c r="F4936" t="str">
        <f>HYPERLINK("http://www.sec.gov/Archives/edgar/data/1532750/0001564590-16-014066-index.html")</f>
        <v>http://www.sec.gov/Archives/edgar/data/1532750/0001564590-16-014066-index.html</v>
      </c>
    </row>
    <row r="4937" spans="1:6" x14ac:dyDescent="0.2">
      <c r="A4937" t="s">
        <v>4470</v>
      </c>
      <c r="B4937" s="1">
        <v>1539894</v>
      </c>
      <c r="C4937" s="1">
        <v>6331</v>
      </c>
      <c r="D4937" s="2">
        <v>42436</v>
      </c>
      <c r="E4937" s="1" t="s">
        <v>18</v>
      </c>
      <c r="F4937" t="str">
        <f>HYPERLINK("http://www.sec.gov/Archives/edgar/data/1539894/0001539894-16-000050-index.html")</f>
        <v>http://www.sec.gov/Archives/edgar/data/1539894/0001539894-16-000050-index.html</v>
      </c>
    </row>
    <row r="4938" spans="1:6" x14ac:dyDescent="0.2">
      <c r="A4938" t="s">
        <v>4471</v>
      </c>
      <c r="B4938" s="1">
        <v>1545447</v>
      </c>
      <c r="C4938" s="1">
        <v>1040</v>
      </c>
      <c r="D4938" s="2">
        <v>42436</v>
      </c>
      <c r="E4938" s="1" t="s">
        <v>18</v>
      </c>
      <c r="F4938" t="str">
        <f>HYPERLINK("http://www.sec.gov/Archives/edgar/data/1545447/0001493152-16-007848-index.html")</f>
        <v>http://www.sec.gov/Archives/edgar/data/1545447/0001493152-16-007848-index.html</v>
      </c>
    </row>
    <row r="4939" spans="1:6" x14ac:dyDescent="0.2">
      <c r="A4939" t="s">
        <v>4472</v>
      </c>
      <c r="B4939" s="1">
        <v>1557939</v>
      </c>
      <c r="C4939" s="1">
        <v>3841</v>
      </c>
      <c r="D4939" s="2">
        <v>42436</v>
      </c>
      <c r="E4939" s="1" t="s">
        <v>18</v>
      </c>
      <c r="F4939" t="str">
        <f>HYPERLINK("http://www.sec.gov/Archives/edgar/data/1557939/0001557939-16-000077-index.html")</f>
        <v>http://www.sec.gov/Archives/edgar/data/1557939/0001557939-16-000077-index.html</v>
      </c>
    </row>
    <row r="4940" spans="1:6" x14ac:dyDescent="0.2">
      <c r="A4940" t="s">
        <v>4473</v>
      </c>
      <c r="B4940" s="1">
        <v>1577670</v>
      </c>
      <c r="C4940" s="1">
        <v>6500</v>
      </c>
      <c r="D4940" s="2">
        <v>42436</v>
      </c>
      <c r="E4940" s="1" t="s">
        <v>18</v>
      </c>
      <c r="F4940" t="str">
        <f>HYPERLINK("http://www.sec.gov/Archives/edgar/data/1577670/0001577670-16-000054-index.html")</f>
        <v>http://www.sec.gov/Archives/edgar/data/1577670/0001577670-16-000054-index.html</v>
      </c>
    </row>
    <row r="4941" spans="1:6" x14ac:dyDescent="0.2">
      <c r="A4941" t="s">
        <v>4474</v>
      </c>
      <c r="B4941" s="1">
        <v>1593470</v>
      </c>
      <c r="C4941" s="1">
        <v>7372</v>
      </c>
      <c r="D4941" s="2">
        <v>42436</v>
      </c>
      <c r="E4941" s="1" t="s">
        <v>18</v>
      </c>
      <c r="F4941" t="str">
        <f>HYPERLINK("http://www.sec.gov/Archives/edgar/data/1593470/0001593470-16-000037-index.html")</f>
        <v>http://www.sec.gov/Archives/edgar/data/1593470/0001593470-16-000037-index.html</v>
      </c>
    </row>
    <row r="4942" spans="1:6" x14ac:dyDescent="0.2">
      <c r="A4942" t="s">
        <v>4475</v>
      </c>
      <c r="B4942" s="1">
        <v>1620280</v>
      </c>
      <c r="C4942" s="1">
        <v>6798</v>
      </c>
      <c r="D4942" s="2">
        <v>42436</v>
      </c>
      <c r="E4942" s="1" t="s">
        <v>18</v>
      </c>
      <c r="F4942" t="str">
        <f>HYPERLINK("http://www.sec.gov/Archives/edgar/data/1620280/0001564590-16-014126-index.html")</f>
        <v>http://www.sec.gov/Archives/edgar/data/1620280/0001564590-16-014126-index.html</v>
      </c>
    </row>
    <row r="4943" spans="1:6" x14ac:dyDescent="0.2">
      <c r="A4943" t="s">
        <v>4476</v>
      </c>
      <c r="B4943" s="1">
        <v>1632127</v>
      </c>
      <c r="C4943" s="1">
        <v>4841</v>
      </c>
      <c r="D4943" s="2">
        <v>42436</v>
      </c>
      <c r="E4943" s="1" t="s">
        <v>18</v>
      </c>
      <c r="F4943" t="str">
        <f>HYPERLINK("http://www.sec.gov/Archives/edgar/data/1632127/0001437749-16-026995-index.html")</f>
        <v>http://www.sec.gov/Archives/edgar/data/1632127/0001437749-16-026995-index.html</v>
      </c>
    </row>
    <row r="4944" spans="1:6" x14ac:dyDescent="0.2">
      <c r="A4944" t="s">
        <v>4477</v>
      </c>
      <c r="B4944" s="1">
        <v>1632970</v>
      </c>
      <c r="C4944" s="1">
        <v>6798</v>
      </c>
      <c r="D4944" s="2">
        <v>42436</v>
      </c>
      <c r="E4944" s="1" t="s">
        <v>18</v>
      </c>
      <c r="F4944" t="str">
        <f>HYPERLINK("http://www.sec.gov/Archives/edgar/data/1632970/0001632970-16-000070-index.html")</f>
        <v>http://www.sec.gov/Archives/edgar/data/1632970/0001632970-16-000070-index.html</v>
      </c>
    </row>
    <row r="4945" spans="1:6" x14ac:dyDescent="0.2">
      <c r="A4945" t="s">
        <v>4478</v>
      </c>
      <c r="B4945" s="1">
        <v>39311</v>
      </c>
      <c r="C4945" s="1">
        <v>6022</v>
      </c>
      <c r="D4945" s="2">
        <v>42436</v>
      </c>
      <c r="E4945" s="1" t="s">
        <v>18</v>
      </c>
      <c r="F4945" t="str">
        <f>HYPERLINK("http://www.sec.gov/Archives/edgar/data/39311/0001567619-16-001959-index.html")</f>
        <v>http://www.sec.gov/Archives/edgar/data/39311/0001567619-16-001959-index.html</v>
      </c>
    </row>
    <row r="4946" spans="1:6" x14ac:dyDescent="0.2">
      <c r="A4946" t="s">
        <v>4479</v>
      </c>
      <c r="B4946" s="1">
        <v>708781</v>
      </c>
      <c r="C4946" s="1">
        <v>7389</v>
      </c>
      <c r="D4946" s="2">
        <v>42436</v>
      </c>
      <c r="E4946" s="1" t="s">
        <v>18</v>
      </c>
      <c r="F4946" t="str">
        <f>HYPERLINK("http://www.sec.gov/Archives/edgar/data/708781/0001206774-16-004815-index.html")</f>
        <v>http://www.sec.gov/Archives/edgar/data/708781/0001206774-16-004815-index.html</v>
      </c>
    </row>
    <row r="4947" spans="1:6" x14ac:dyDescent="0.2">
      <c r="A4947" t="s">
        <v>4480</v>
      </c>
      <c r="B4947" s="1">
        <v>784011</v>
      </c>
      <c r="C4947" s="1">
        <v>800</v>
      </c>
      <c r="D4947" s="2">
        <v>42436</v>
      </c>
      <c r="E4947" s="1" t="s">
        <v>18</v>
      </c>
      <c r="F4947" t="str">
        <f>HYPERLINK("http://www.sec.gov/Archives/edgar/data/784011/0000784011-16-000034-index.html")</f>
        <v>http://www.sec.gov/Archives/edgar/data/784011/0000784011-16-000034-index.html</v>
      </c>
    </row>
    <row r="4948" spans="1:6" x14ac:dyDescent="0.2">
      <c r="A4948" t="s">
        <v>4481</v>
      </c>
      <c r="B4948" s="1">
        <v>842295</v>
      </c>
      <c r="C4948" s="1">
        <v>2810</v>
      </c>
      <c r="D4948" s="2">
        <v>42436</v>
      </c>
      <c r="E4948" s="1" t="s">
        <v>18</v>
      </c>
      <c r="F4948" t="str">
        <f>HYPERLINK("http://www.sec.gov/Archives/edgar/data/842295/0001003297-16-000614-index.html")</f>
        <v>http://www.sec.gov/Archives/edgar/data/842295/0001003297-16-000614-index.html</v>
      </c>
    </row>
    <row r="4949" spans="1:6" x14ac:dyDescent="0.2">
      <c r="A4949" t="s">
        <v>4482</v>
      </c>
      <c r="B4949" s="1">
        <v>864559</v>
      </c>
      <c r="C4949" s="1">
        <v>3825</v>
      </c>
      <c r="D4949" s="2">
        <v>42436</v>
      </c>
      <c r="E4949" s="1" t="s">
        <v>18</v>
      </c>
      <c r="F4949" t="str">
        <f>HYPERLINK("http://www.sec.gov/Archives/edgar/data/864559/0001193125-16-495423-index.html")</f>
        <v>http://www.sec.gov/Archives/edgar/data/864559/0001193125-16-495423-index.html</v>
      </c>
    </row>
    <row r="4950" spans="1:6" x14ac:dyDescent="0.2">
      <c r="A4950" t="s">
        <v>4483</v>
      </c>
      <c r="B4950" s="1">
        <v>914374</v>
      </c>
      <c r="C4950" s="1">
        <v>6022</v>
      </c>
      <c r="D4950" s="2">
        <v>42436</v>
      </c>
      <c r="E4950" s="1" t="s">
        <v>18</v>
      </c>
      <c r="F4950" t="str">
        <f>HYPERLINK("http://www.sec.gov/Archives/edgar/data/914374/0000914374-16-000197-index.html")</f>
        <v>http://www.sec.gov/Archives/edgar/data/914374/0000914374-16-000197-index.html</v>
      </c>
    </row>
    <row r="4951" spans="1:6" x14ac:dyDescent="0.2">
      <c r="A4951" t="s">
        <v>4484</v>
      </c>
      <c r="B4951" s="1">
        <v>914577</v>
      </c>
      <c r="C4951" s="1">
        <v>7900</v>
      </c>
      <c r="D4951" s="2">
        <v>42436</v>
      </c>
      <c r="E4951" s="1" t="s">
        <v>18</v>
      </c>
      <c r="F4951" t="str">
        <f>HYPERLINK("http://www.sec.gov/Archives/edgar/data/914577/0001104659-16-102848-index.html")</f>
        <v>http://www.sec.gov/Archives/edgar/data/914577/0001104659-16-102848-index.html</v>
      </c>
    </row>
    <row r="4952" spans="1:6" x14ac:dyDescent="0.2">
      <c r="A4952" t="s">
        <v>4485</v>
      </c>
      <c r="B4952" s="1">
        <v>946454</v>
      </c>
      <c r="C4952" s="1">
        <v>3861</v>
      </c>
      <c r="D4952" s="2">
        <v>42436</v>
      </c>
      <c r="E4952" s="1" t="s">
        <v>18</v>
      </c>
      <c r="F4952" t="str">
        <f>HYPERLINK("http://www.sec.gov/Archives/edgar/data/946454/0001493152-16-007878-index.html")</f>
        <v>http://www.sec.gov/Archives/edgar/data/946454/0001493152-16-007878-index.html</v>
      </c>
    </row>
    <row r="4953" spans="1:6" x14ac:dyDescent="0.2">
      <c r="A4953" t="s">
        <v>4486</v>
      </c>
      <c r="B4953" s="1">
        <v>949157</v>
      </c>
      <c r="C4953" s="1">
        <v>3334</v>
      </c>
      <c r="D4953" s="2">
        <v>42436</v>
      </c>
      <c r="E4953" s="1" t="s">
        <v>18</v>
      </c>
      <c r="F4953" t="str">
        <f>HYPERLINK("http://www.sec.gov/Archives/edgar/data/949157/0000949157-16-000164-index.html")</f>
        <v>http://www.sec.gov/Archives/edgar/data/949157/0000949157-16-000164-index.html</v>
      </c>
    </row>
    <row r="4954" spans="1:6" x14ac:dyDescent="0.2">
      <c r="A4954" t="s">
        <v>4487</v>
      </c>
      <c r="B4954" s="1">
        <v>931148</v>
      </c>
      <c r="C4954" s="1">
        <v>3620</v>
      </c>
      <c r="D4954" s="2">
        <v>42436</v>
      </c>
      <c r="E4954" s="1" t="s">
        <v>18</v>
      </c>
      <c r="F4954" t="str">
        <f>HYPERLINK("http://www.sec.gov/Archives/edgar/data/931148/0000931148-16-000108-index.html")</f>
        <v>http://www.sec.gov/Archives/edgar/data/931148/0000931148-16-000108-index.html</v>
      </c>
    </row>
    <row r="4955" spans="1:6" x14ac:dyDescent="0.2">
      <c r="A4955" t="s">
        <v>4488</v>
      </c>
      <c r="B4955" s="1">
        <v>1001385</v>
      </c>
      <c r="C4955" s="1">
        <v>3317</v>
      </c>
      <c r="D4955" s="2">
        <v>42433</v>
      </c>
      <c r="E4955" s="1" t="s">
        <v>18</v>
      </c>
      <c r="F4955" t="str">
        <f>HYPERLINK("http://www.sec.gov/Archives/edgar/data/1001385/0001437749-16-026859-index.html")</f>
        <v>http://www.sec.gov/Archives/edgar/data/1001385/0001437749-16-026859-index.html</v>
      </c>
    </row>
    <row r="4956" spans="1:6" x14ac:dyDescent="0.2">
      <c r="A4956" t="s">
        <v>4489</v>
      </c>
      <c r="B4956" s="1">
        <v>1007273</v>
      </c>
      <c r="C4956" s="1">
        <v>6022</v>
      </c>
      <c r="D4956" s="2">
        <v>42433</v>
      </c>
      <c r="E4956" s="1" t="s">
        <v>18</v>
      </c>
      <c r="F4956" t="str">
        <f>HYPERLINK("http://www.sec.gov/Archives/edgar/data/1007273/0001387131-16-004470-index.html")</f>
        <v>http://www.sec.gov/Archives/edgar/data/1007273/0001387131-16-004470-index.html</v>
      </c>
    </row>
    <row r="4957" spans="1:6" x14ac:dyDescent="0.2">
      <c r="A4957" t="s">
        <v>4490</v>
      </c>
      <c r="B4957" s="1">
        <v>1008654</v>
      </c>
      <c r="C4957" s="1">
        <v>3089</v>
      </c>
      <c r="D4957" s="2">
        <v>42433</v>
      </c>
      <c r="E4957" s="1" t="s">
        <v>18</v>
      </c>
      <c r="F4957" t="str">
        <f>HYPERLINK("http://www.sec.gov/Archives/edgar/data/1008654/0001008654-16-000035-index.html")</f>
        <v>http://www.sec.gov/Archives/edgar/data/1008654/0001008654-16-000035-index.html</v>
      </c>
    </row>
    <row r="4958" spans="1:6" x14ac:dyDescent="0.2">
      <c r="A4958" t="s">
        <v>4491</v>
      </c>
      <c r="B4958" s="1">
        <v>1010086</v>
      </c>
      <c r="C4958" s="1">
        <v>2834</v>
      </c>
      <c r="D4958" s="2">
        <v>42433</v>
      </c>
      <c r="E4958" s="1" t="s">
        <v>18</v>
      </c>
      <c r="F4958" t="str">
        <f>HYPERLINK("http://www.sec.gov/Archives/edgar/data/1010086/0001010086-16-000019-index.html")</f>
        <v>http://www.sec.gov/Archives/edgar/data/1010086/0001010086-16-000019-index.html</v>
      </c>
    </row>
    <row r="4959" spans="1:6" x14ac:dyDescent="0.2">
      <c r="A4959" t="s">
        <v>4492</v>
      </c>
      <c r="B4959" s="1">
        <v>1017673</v>
      </c>
      <c r="C4959" s="1">
        <v>7900</v>
      </c>
      <c r="D4959" s="2">
        <v>42433</v>
      </c>
      <c r="E4959" s="1" t="s">
        <v>18</v>
      </c>
      <c r="F4959" t="str">
        <f>HYPERLINK("http://www.sec.gov/Archives/edgar/data/1017673/0001104659-16-102622-index.html")</f>
        <v>http://www.sec.gov/Archives/edgar/data/1017673/0001104659-16-102622-index.html</v>
      </c>
    </row>
    <row r="4960" spans="1:6" x14ac:dyDescent="0.2">
      <c r="A4960" t="s">
        <v>4493</v>
      </c>
      <c r="B4960" s="1">
        <v>102212</v>
      </c>
      <c r="C4960" s="1">
        <v>6022</v>
      </c>
      <c r="D4960" s="2">
        <v>42433</v>
      </c>
      <c r="E4960" s="1" t="s">
        <v>18</v>
      </c>
      <c r="F4960" t="str">
        <f>HYPERLINK("http://www.sec.gov/Archives/edgar/data/102212/0000102212-16-000090-index.html")</f>
        <v>http://www.sec.gov/Archives/edgar/data/102212/0000102212-16-000090-index.html</v>
      </c>
    </row>
    <row r="4961" spans="1:6" x14ac:dyDescent="0.2">
      <c r="A4961" t="s">
        <v>4494</v>
      </c>
      <c r="B4961" s="1">
        <v>1022469</v>
      </c>
      <c r="C4961" s="1">
        <v>2421</v>
      </c>
      <c r="D4961" s="2">
        <v>42433</v>
      </c>
      <c r="E4961" s="1" t="s">
        <v>18</v>
      </c>
      <c r="F4961" t="str">
        <f>HYPERLINK("http://www.sec.gov/Archives/edgar/data/1022469/0001193125-16-493389-index.html")</f>
        <v>http://www.sec.gov/Archives/edgar/data/1022469/0001193125-16-493389-index.html</v>
      </c>
    </row>
    <row r="4962" spans="1:6" x14ac:dyDescent="0.2">
      <c r="A4962" t="s">
        <v>4495</v>
      </c>
      <c r="B4962" s="1">
        <v>1022705</v>
      </c>
      <c r="C4962" s="1">
        <v>3533</v>
      </c>
      <c r="D4962" s="2">
        <v>42433</v>
      </c>
      <c r="E4962" s="1" t="s">
        <v>18</v>
      </c>
      <c r="F4962" t="str">
        <f>HYPERLINK("http://www.sec.gov/Archives/edgar/data/1022705/0001022705-16-000054-index.html")</f>
        <v>http://www.sec.gov/Archives/edgar/data/1022705/0001022705-16-000054-index.html</v>
      </c>
    </row>
    <row r="4963" spans="1:6" x14ac:dyDescent="0.2">
      <c r="A4963" t="s">
        <v>4496</v>
      </c>
      <c r="B4963" s="1">
        <v>1028918</v>
      </c>
      <c r="C4963" s="1">
        <v>6022</v>
      </c>
      <c r="D4963" s="2">
        <v>42433</v>
      </c>
      <c r="E4963" s="1" t="s">
        <v>18</v>
      </c>
      <c r="F4963" t="str">
        <f>HYPERLINK("http://www.sec.gov/Archives/edgar/data/1028918/0001028918-16-000161-index.html")</f>
        <v>http://www.sec.gov/Archives/edgar/data/1028918/0001028918-16-000161-index.html</v>
      </c>
    </row>
    <row r="4964" spans="1:6" x14ac:dyDescent="0.2">
      <c r="A4964" t="s">
        <v>4497</v>
      </c>
      <c r="B4964" s="1">
        <v>1039399</v>
      </c>
      <c r="C4964" s="1">
        <v>3674</v>
      </c>
      <c r="D4964" s="2">
        <v>42433</v>
      </c>
      <c r="E4964" s="1" t="s">
        <v>18</v>
      </c>
      <c r="F4964" t="str">
        <f>HYPERLINK("http://www.sec.gov/Archives/edgar/data/1039399/0001039399-16-000037-index.html")</f>
        <v>http://www.sec.gov/Archives/edgar/data/1039399/0001039399-16-000037-index.html</v>
      </c>
    </row>
    <row r="4965" spans="1:6" x14ac:dyDescent="0.2">
      <c r="A4965" t="s">
        <v>4498</v>
      </c>
      <c r="B4965" s="1">
        <v>1051343</v>
      </c>
      <c r="C4965" s="1">
        <v>6022</v>
      </c>
      <c r="D4965" s="2">
        <v>42433</v>
      </c>
      <c r="E4965" s="1" t="s">
        <v>18</v>
      </c>
      <c r="F4965" t="str">
        <f>HYPERLINK("http://www.sec.gov/Archives/edgar/data/1051343/0001140361-16-056515-index.html")</f>
        <v>http://www.sec.gov/Archives/edgar/data/1051343/0001140361-16-056515-index.html</v>
      </c>
    </row>
    <row r="4966" spans="1:6" x14ac:dyDescent="0.2">
      <c r="A4966" t="s">
        <v>4499</v>
      </c>
      <c r="B4966" s="1">
        <v>1053706</v>
      </c>
      <c r="C4966" s="1">
        <v>8111</v>
      </c>
      <c r="D4966" s="2">
        <v>42433</v>
      </c>
      <c r="E4966" s="1" t="s">
        <v>18</v>
      </c>
      <c r="F4966" t="str">
        <f>HYPERLINK("http://www.sec.gov/Archives/edgar/data/1053706/0001047469-16-010784-index.html")</f>
        <v>http://www.sec.gov/Archives/edgar/data/1053706/0001047469-16-010784-index.html</v>
      </c>
    </row>
    <row r="4967" spans="1:6" x14ac:dyDescent="0.2">
      <c r="A4967" t="s">
        <v>4500</v>
      </c>
      <c r="B4967" s="1">
        <v>1058299</v>
      </c>
      <c r="C4967" s="1">
        <v>7389</v>
      </c>
      <c r="D4967" s="2">
        <v>42433</v>
      </c>
      <c r="E4967" s="1" t="s">
        <v>18</v>
      </c>
      <c r="F4967" t="str">
        <f>HYPERLINK("http://www.sec.gov/Archives/edgar/data/1058299/0001058299-16-000047-index.html")</f>
        <v>http://www.sec.gov/Archives/edgar/data/1058299/0001058299-16-000047-index.html</v>
      </c>
    </row>
    <row r="4968" spans="1:6" x14ac:dyDescent="0.2">
      <c r="A4968" t="s">
        <v>4501</v>
      </c>
      <c r="B4968" s="1">
        <v>1062292</v>
      </c>
      <c r="C4968" s="1">
        <v>5960</v>
      </c>
      <c r="D4968" s="2">
        <v>42433</v>
      </c>
      <c r="E4968" s="1" t="s">
        <v>18</v>
      </c>
      <c r="F4968" t="str">
        <f>HYPERLINK("http://www.sec.gov/Archives/edgar/data/1062292/0001062292-16-000054-index.html")</f>
        <v>http://www.sec.gov/Archives/edgar/data/1062292/0001062292-16-000054-index.html</v>
      </c>
    </row>
    <row r="4969" spans="1:6" x14ac:dyDescent="0.2">
      <c r="A4969" t="s">
        <v>1572</v>
      </c>
      <c r="B4969" s="1">
        <v>1073429</v>
      </c>
      <c r="C4969" s="1">
        <v>3272</v>
      </c>
      <c r="D4969" s="2">
        <v>42433</v>
      </c>
      <c r="E4969" s="1" t="s">
        <v>18</v>
      </c>
      <c r="F4969" t="str">
        <f>HYPERLINK("http://www.sec.gov/Archives/edgar/data/1073429/0001073429-16-000322-index.html")</f>
        <v>http://www.sec.gov/Archives/edgar/data/1073429/0001073429-16-000322-index.html</v>
      </c>
    </row>
    <row r="4970" spans="1:6" x14ac:dyDescent="0.2">
      <c r="A4970" t="s">
        <v>4502</v>
      </c>
      <c r="B4970" s="1">
        <v>1087934</v>
      </c>
      <c r="C4970" s="1">
        <v>7372</v>
      </c>
      <c r="D4970" s="2">
        <v>42433</v>
      </c>
      <c r="E4970" s="1" t="s">
        <v>18</v>
      </c>
      <c r="F4970" t="str">
        <f>HYPERLINK("http://www.sec.gov/Archives/edgar/data/1087934/0001564590-16-014014-index.html")</f>
        <v>http://www.sec.gov/Archives/edgar/data/1087934/0001564590-16-014014-index.html</v>
      </c>
    </row>
    <row r="4971" spans="1:6" x14ac:dyDescent="0.2">
      <c r="A4971" t="s">
        <v>4503</v>
      </c>
      <c r="B4971" s="1">
        <v>1113232</v>
      </c>
      <c r="C4971" s="1">
        <v>3559</v>
      </c>
      <c r="D4971" s="2">
        <v>42433</v>
      </c>
      <c r="E4971" s="1" t="s">
        <v>18</v>
      </c>
      <c r="F4971" t="str">
        <f>HYPERLINK("http://www.sec.gov/Archives/edgar/data/1113232/0001047469-16-010788-index.html")</f>
        <v>http://www.sec.gov/Archives/edgar/data/1113232/0001047469-16-010788-index.html</v>
      </c>
    </row>
    <row r="4972" spans="1:6" x14ac:dyDescent="0.2">
      <c r="A4972" t="s">
        <v>1550</v>
      </c>
      <c r="B4972" s="1">
        <v>1128361</v>
      </c>
      <c r="C4972" s="1">
        <v>6021</v>
      </c>
      <c r="D4972" s="2">
        <v>42433</v>
      </c>
      <c r="E4972" s="1" t="s">
        <v>18</v>
      </c>
      <c r="F4972" t="str">
        <f>HYPERLINK("http://www.sec.gov/Archives/edgar/data/1128361/0001128361-16-000051-index.html")</f>
        <v>http://www.sec.gov/Archives/edgar/data/1128361/0001128361-16-000051-index.html</v>
      </c>
    </row>
    <row r="4973" spans="1:6" x14ac:dyDescent="0.2">
      <c r="A4973" t="s">
        <v>4504</v>
      </c>
      <c r="B4973" s="1">
        <v>1137547</v>
      </c>
      <c r="C4973" s="1">
        <v>6021</v>
      </c>
      <c r="D4973" s="2">
        <v>42433</v>
      </c>
      <c r="E4973" s="1" t="s">
        <v>18</v>
      </c>
      <c r="F4973" t="str">
        <f>HYPERLINK("http://www.sec.gov/Archives/edgar/data/1137547/0001137547-16-000035-index.html")</f>
        <v>http://www.sec.gov/Archives/edgar/data/1137547/0001137547-16-000035-index.html</v>
      </c>
    </row>
    <row r="4974" spans="1:6" x14ac:dyDescent="0.2">
      <c r="A4974" t="s">
        <v>4505</v>
      </c>
      <c r="B4974" s="1">
        <v>1145986</v>
      </c>
      <c r="C4974" s="1">
        <v>5030</v>
      </c>
      <c r="D4974" s="2">
        <v>42433</v>
      </c>
      <c r="E4974" s="1" t="s">
        <v>18</v>
      </c>
      <c r="F4974" t="str">
        <f>HYPERLINK("http://www.sec.gov/Archives/edgar/data/1145986/0001193125-16-493372-index.html")</f>
        <v>http://www.sec.gov/Archives/edgar/data/1145986/0001193125-16-493372-index.html</v>
      </c>
    </row>
    <row r="4975" spans="1:6" x14ac:dyDescent="0.2">
      <c r="A4975" t="s">
        <v>4506</v>
      </c>
      <c r="B4975" s="1">
        <v>1157602</v>
      </c>
      <c r="C4975" s="1">
        <v>2834</v>
      </c>
      <c r="D4975" s="2">
        <v>42433</v>
      </c>
      <c r="E4975" s="1" t="s">
        <v>18</v>
      </c>
      <c r="F4975" t="str">
        <f>HYPERLINK("http://www.sec.gov/Archives/edgar/data/1157602/0001047469-16-010789-index.html")</f>
        <v>http://www.sec.gov/Archives/edgar/data/1157602/0001047469-16-010789-index.html</v>
      </c>
    </row>
    <row r="4976" spans="1:6" x14ac:dyDescent="0.2">
      <c r="A4976" t="s">
        <v>4507</v>
      </c>
      <c r="B4976" s="1">
        <v>1162556</v>
      </c>
      <c r="C4976" s="1">
        <v>7900</v>
      </c>
      <c r="D4976" s="2">
        <v>42433</v>
      </c>
      <c r="E4976" s="1" t="s">
        <v>18</v>
      </c>
      <c r="F4976" t="str">
        <f>HYPERLINK("http://www.sec.gov/Archives/edgar/data/1162556/0001104659-16-102624-index.html")</f>
        <v>http://www.sec.gov/Archives/edgar/data/1162556/0001104659-16-102624-index.html</v>
      </c>
    </row>
    <row r="4977" spans="1:6" x14ac:dyDescent="0.2">
      <c r="A4977" t="s">
        <v>4508</v>
      </c>
      <c r="B4977" s="1">
        <v>1178727</v>
      </c>
      <c r="C4977" s="1">
        <v>3721</v>
      </c>
      <c r="D4977" s="2">
        <v>42433</v>
      </c>
      <c r="E4977" s="1" t="s">
        <v>18</v>
      </c>
      <c r="F4977" t="str">
        <f>HYPERLINK("http://www.sec.gov/Archives/edgar/data/1178727/0001013762-16-001358-index.html")</f>
        <v>http://www.sec.gov/Archives/edgar/data/1178727/0001013762-16-001358-index.html</v>
      </c>
    </row>
    <row r="4978" spans="1:6" x14ac:dyDescent="0.2">
      <c r="A4978" t="s">
        <v>2675</v>
      </c>
      <c r="B4978" s="1">
        <v>1211805</v>
      </c>
      <c r="C4978" s="1">
        <v>3845</v>
      </c>
      <c r="D4978" s="2">
        <v>42433</v>
      </c>
      <c r="E4978" s="1" t="s">
        <v>18</v>
      </c>
      <c r="F4978" t="str">
        <f>HYPERLINK("http://www.sec.gov/Archives/edgar/data/1211805/0001213900-16-011344-index.html")</f>
        <v>http://www.sec.gov/Archives/edgar/data/1211805/0001213900-16-011344-index.html</v>
      </c>
    </row>
    <row r="4979" spans="1:6" x14ac:dyDescent="0.2">
      <c r="A4979" t="s">
        <v>4509</v>
      </c>
      <c r="B4979" s="1">
        <v>1260968</v>
      </c>
      <c r="C4979" s="1">
        <v>6022</v>
      </c>
      <c r="D4979" s="2">
        <v>42433</v>
      </c>
      <c r="E4979" s="1" t="s">
        <v>18</v>
      </c>
      <c r="F4979" t="str">
        <f>HYPERLINK("http://www.sec.gov/Archives/edgar/data/1260968/0001193125-16-493404-index.html")</f>
        <v>http://www.sec.gov/Archives/edgar/data/1260968/0001193125-16-493404-index.html</v>
      </c>
    </row>
    <row r="4980" spans="1:6" x14ac:dyDescent="0.2">
      <c r="A4980" t="s">
        <v>4510</v>
      </c>
      <c r="B4980" s="1">
        <v>1282631</v>
      </c>
      <c r="C4980" s="1">
        <v>3674</v>
      </c>
      <c r="D4980" s="2">
        <v>42433</v>
      </c>
      <c r="E4980" s="1" t="s">
        <v>18</v>
      </c>
      <c r="F4980" t="str">
        <f>HYPERLINK("http://www.sec.gov/Archives/edgar/data/1282631/0001558370-16-003849-index.html")</f>
        <v>http://www.sec.gov/Archives/edgar/data/1282631/0001558370-16-003849-index.html</v>
      </c>
    </row>
    <row r="4981" spans="1:6" x14ac:dyDescent="0.2">
      <c r="A4981" t="s">
        <v>4511</v>
      </c>
      <c r="B4981" s="1">
        <v>1292519</v>
      </c>
      <c r="C4981" s="1">
        <v>3841</v>
      </c>
      <c r="D4981" s="2">
        <v>42433</v>
      </c>
      <c r="E4981" s="1" t="s">
        <v>18</v>
      </c>
      <c r="F4981" t="str">
        <f>HYPERLINK("http://www.sec.gov/Archives/edgar/data/1292519/0001047469-16-010780-index.html")</f>
        <v>http://www.sec.gov/Archives/edgar/data/1292519/0001047469-16-010780-index.html</v>
      </c>
    </row>
    <row r="4982" spans="1:6" x14ac:dyDescent="0.2">
      <c r="A4982" t="s">
        <v>4512</v>
      </c>
      <c r="B4982" s="1">
        <v>1317945</v>
      </c>
      <c r="C4982" s="1">
        <v>3430</v>
      </c>
      <c r="D4982" s="2">
        <v>42433</v>
      </c>
      <c r="E4982" s="1" t="s">
        <v>18</v>
      </c>
      <c r="F4982" t="str">
        <f>HYPERLINK("http://www.sec.gov/Archives/edgar/data/1317945/0001376474-16-000584-index.html")</f>
        <v>http://www.sec.gov/Archives/edgar/data/1317945/0001376474-16-000584-index.html</v>
      </c>
    </row>
    <row r="4983" spans="1:6" x14ac:dyDescent="0.2">
      <c r="A4983" t="s">
        <v>4513</v>
      </c>
      <c r="B4983" s="1">
        <v>1320854</v>
      </c>
      <c r="C4983" s="1">
        <v>3743</v>
      </c>
      <c r="D4983" s="2">
        <v>42433</v>
      </c>
      <c r="E4983" s="1" t="s">
        <v>18</v>
      </c>
      <c r="F4983" t="str">
        <f>HYPERLINK("http://www.sec.gov/Archives/edgar/data/1320854/0001193125-16-493293-index.html")</f>
        <v>http://www.sec.gov/Archives/edgar/data/1320854/0001193125-16-493293-index.html</v>
      </c>
    </row>
    <row r="4984" spans="1:6" x14ac:dyDescent="0.2">
      <c r="A4984" t="s">
        <v>4514</v>
      </c>
      <c r="B4984" s="1">
        <v>1324272</v>
      </c>
      <c r="C4984" s="1">
        <v>5812</v>
      </c>
      <c r="D4984" s="2">
        <v>42433</v>
      </c>
      <c r="E4984" s="1" t="s">
        <v>18</v>
      </c>
      <c r="F4984" t="str">
        <f>HYPERLINK("http://www.sec.gov/Archives/edgar/data/1324272/0001437749-16-026852-index.html")</f>
        <v>http://www.sec.gov/Archives/edgar/data/1324272/0001437749-16-026852-index.html</v>
      </c>
    </row>
    <row r="4985" spans="1:6" x14ac:dyDescent="0.2">
      <c r="A4985" t="s">
        <v>4515</v>
      </c>
      <c r="B4985" s="1">
        <v>1359555</v>
      </c>
      <c r="C4985" s="1">
        <v>6794</v>
      </c>
      <c r="D4985" s="2">
        <v>42433</v>
      </c>
      <c r="E4985" s="1" t="s">
        <v>18</v>
      </c>
      <c r="F4985" t="str">
        <f>HYPERLINK("http://www.sec.gov/Archives/edgar/data/1359555/0001193125-16-493376-index.html")</f>
        <v>http://www.sec.gov/Archives/edgar/data/1359555/0001193125-16-493376-index.html</v>
      </c>
    </row>
    <row r="4986" spans="1:6" x14ac:dyDescent="0.2">
      <c r="A4986" t="s">
        <v>4516</v>
      </c>
      <c r="B4986" s="1">
        <v>1364954</v>
      </c>
      <c r="C4986" s="1">
        <v>8200</v>
      </c>
      <c r="D4986" s="2">
        <v>42433</v>
      </c>
      <c r="E4986" s="1" t="s">
        <v>18</v>
      </c>
      <c r="F4986" t="str">
        <f>HYPERLINK("http://www.sec.gov/Archives/edgar/data/1364954/0001364954-16-000291-index.html")</f>
        <v>http://www.sec.gov/Archives/edgar/data/1364954/0001364954-16-000291-index.html</v>
      </c>
    </row>
    <row r="4987" spans="1:6" x14ac:dyDescent="0.2">
      <c r="A4987" t="s">
        <v>4517</v>
      </c>
      <c r="B4987" s="1">
        <v>1366246</v>
      </c>
      <c r="C4987" s="1">
        <v>7371</v>
      </c>
      <c r="D4987" s="2">
        <v>42433</v>
      </c>
      <c r="E4987" s="1" t="s">
        <v>18</v>
      </c>
      <c r="F4987" t="str">
        <f>HYPERLINK("http://www.sec.gov/Archives/edgar/data/1366246/0001558370-16-003851-index.html")</f>
        <v>http://www.sec.gov/Archives/edgar/data/1366246/0001558370-16-003851-index.html</v>
      </c>
    </row>
    <row r="4988" spans="1:6" x14ac:dyDescent="0.2">
      <c r="A4988" t="s">
        <v>4518</v>
      </c>
      <c r="B4988" s="1">
        <v>1371128</v>
      </c>
      <c r="C4988" s="1">
        <v>3081</v>
      </c>
      <c r="D4988" s="2">
        <v>42433</v>
      </c>
      <c r="E4988" s="1" t="s">
        <v>18</v>
      </c>
      <c r="F4988" t="str">
        <f>HYPERLINK("http://www.sec.gov/Archives/edgar/data/1371128/0001213900-16-011346-index.html")</f>
        <v>http://www.sec.gov/Archives/edgar/data/1371128/0001213900-16-011346-index.html</v>
      </c>
    </row>
    <row r="4989" spans="1:6" x14ac:dyDescent="0.2">
      <c r="A4989" t="s">
        <v>4519</v>
      </c>
      <c r="B4989" s="1">
        <v>1373561</v>
      </c>
      <c r="C4989" s="1">
        <v>6172</v>
      </c>
      <c r="D4989" s="2">
        <v>42433</v>
      </c>
      <c r="E4989" s="1" t="s">
        <v>18</v>
      </c>
      <c r="F4989" t="str">
        <f>HYPERLINK("http://www.sec.gov/Archives/edgar/data/1373561/0001564590-16-014054-index.html")</f>
        <v>http://www.sec.gov/Archives/edgar/data/1373561/0001564590-16-014054-index.html</v>
      </c>
    </row>
    <row r="4990" spans="1:6" x14ac:dyDescent="0.2">
      <c r="A4990" t="s">
        <v>4520</v>
      </c>
      <c r="B4990" s="1">
        <v>1389545</v>
      </c>
      <c r="C4990" s="1">
        <v>2834</v>
      </c>
      <c r="D4990" s="2">
        <v>42433</v>
      </c>
      <c r="E4990" s="1" t="s">
        <v>18</v>
      </c>
      <c r="F4990" t="str">
        <f>HYPERLINK("http://www.sec.gov/Archives/edgar/data/1389545/0001437749-16-026877-index.html")</f>
        <v>http://www.sec.gov/Archives/edgar/data/1389545/0001437749-16-026877-index.html</v>
      </c>
    </row>
    <row r="4991" spans="1:6" x14ac:dyDescent="0.2">
      <c r="A4991" t="s">
        <v>4521</v>
      </c>
      <c r="B4991" s="1">
        <v>1400810</v>
      </c>
      <c r="C4991" s="1">
        <v>6331</v>
      </c>
      <c r="D4991" s="2">
        <v>42433</v>
      </c>
      <c r="E4991" s="1" t="s">
        <v>18</v>
      </c>
      <c r="F4991" t="str">
        <f>HYPERLINK("http://www.sec.gov/Archives/edgar/data/1400810/0001193125-16-493381-index.html")</f>
        <v>http://www.sec.gov/Archives/edgar/data/1400810/0001193125-16-493381-index.html</v>
      </c>
    </row>
    <row r="4992" spans="1:6" x14ac:dyDescent="0.2">
      <c r="A4992" t="s">
        <v>4522</v>
      </c>
      <c r="B4992" s="1">
        <v>1405073</v>
      </c>
      <c r="C4992" s="1">
        <v>1311</v>
      </c>
      <c r="D4992" s="2">
        <v>42433</v>
      </c>
      <c r="E4992" s="1" t="s">
        <v>18</v>
      </c>
      <c r="F4992" t="str">
        <f>HYPERLINK("http://www.sec.gov/Archives/edgar/data/1405073/0001193125-16-493387-index.html")</f>
        <v>http://www.sec.gov/Archives/edgar/data/1405073/0001193125-16-493387-index.html</v>
      </c>
    </row>
    <row r="4993" spans="1:6" x14ac:dyDescent="0.2">
      <c r="A4993" t="s">
        <v>4523</v>
      </c>
      <c r="B4993" s="1">
        <v>1406587</v>
      </c>
      <c r="C4993" s="1">
        <v>6500</v>
      </c>
      <c r="D4993" s="2">
        <v>42433</v>
      </c>
      <c r="E4993" s="1" t="s">
        <v>18</v>
      </c>
      <c r="F4993" t="str">
        <f>HYPERLINK("http://www.sec.gov/Archives/edgar/data/1406587/0001406587-16-000077-index.html")</f>
        <v>http://www.sec.gov/Archives/edgar/data/1406587/0001406587-16-000077-index.html</v>
      </c>
    </row>
    <row r="4994" spans="1:6" x14ac:dyDescent="0.2">
      <c r="A4994" t="s">
        <v>1554</v>
      </c>
      <c r="B4994" s="1">
        <v>1420525</v>
      </c>
      <c r="C4994" s="1">
        <v>6022</v>
      </c>
      <c r="D4994" s="2">
        <v>42433</v>
      </c>
      <c r="E4994" s="1" t="s">
        <v>18</v>
      </c>
      <c r="F4994" t="str">
        <f>HYPERLINK("http://www.sec.gov/Archives/edgar/data/1420525/0001437749-16-026765-index.html")</f>
        <v>http://www.sec.gov/Archives/edgar/data/1420525/0001437749-16-026765-index.html</v>
      </c>
    </row>
    <row r="4995" spans="1:6" x14ac:dyDescent="0.2">
      <c r="A4995" t="s">
        <v>4524</v>
      </c>
      <c r="B4995" s="1">
        <v>1421517</v>
      </c>
      <c r="C4995" s="1">
        <v>3559</v>
      </c>
      <c r="D4995" s="2">
        <v>42433</v>
      </c>
      <c r="E4995" s="1" t="s">
        <v>18</v>
      </c>
      <c r="F4995" t="str">
        <f>HYPERLINK("http://www.sec.gov/Archives/edgar/data/1421517/0001437749-16-026759-index.html")</f>
        <v>http://www.sec.gov/Archives/edgar/data/1421517/0001437749-16-026759-index.html</v>
      </c>
    </row>
    <row r="4996" spans="1:6" x14ac:dyDescent="0.2">
      <c r="A4996" t="s">
        <v>4525</v>
      </c>
      <c r="B4996" s="1">
        <v>1423542</v>
      </c>
      <c r="C4996" s="1">
        <v>3651</v>
      </c>
      <c r="D4996" s="2">
        <v>42433</v>
      </c>
      <c r="E4996" s="1" t="s">
        <v>18</v>
      </c>
      <c r="F4996" t="str">
        <f>HYPERLINK("http://www.sec.gov/Archives/edgar/data/1423542/0001423542-16-000112-index.html")</f>
        <v>http://www.sec.gov/Archives/edgar/data/1423542/0001423542-16-000112-index.html</v>
      </c>
    </row>
    <row r="4997" spans="1:6" x14ac:dyDescent="0.2">
      <c r="A4997" t="s">
        <v>4526</v>
      </c>
      <c r="B4997" s="1">
        <v>1423586</v>
      </c>
      <c r="C4997" s="1">
        <v>3842</v>
      </c>
      <c r="D4997" s="2">
        <v>42433</v>
      </c>
      <c r="E4997" s="1" t="s">
        <v>18</v>
      </c>
      <c r="F4997" t="str">
        <f>HYPERLINK("http://www.sec.gov/Archives/edgar/data/1423586/0001214659-16-010075-index.html")</f>
        <v>http://www.sec.gov/Archives/edgar/data/1423586/0001214659-16-010075-index.html</v>
      </c>
    </row>
    <row r="4998" spans="1:6" x14ac:dyDescent="0.2">
      <c r="A4998" t="s">
        <v>4527</v>
      </c>
      <c r="B4998" s="1">
        <v>1432939</v>
      </c>
      <c r="C4998" s="1">
        <v>6199</v>
      </c>
      <c r="D4998" s="2">
        <v>42433</v>
      </c>
      <c r="E4998" s="1" t="s">
        <v>18</v>
      </c>
      <c r="F4998" t="str">
        <f>HYPERLINK("http://www.sec.gov/Archives/edgar/data/1432939/0001549983-16-000012-index.html")</f>
        <v>http://www.sec.gov/Archives/edgar/data/1432939/0001549983-16-000012-index.html</v>
      </c>
    </row>
    <row r="4999" spans="1:6" x14ac:dyDescent="0.2">
      <c r="A4999" t="s">
        <v>4528</v>
      </c>
      <c r="B4999" s="1">
        <v>1437402</v>
      </c>
      <c r="C4999" s="1">
        <v>2834</v>
      </c>
      <c r="D4999" s="2">
        <v>42433</v>
      </c>
      <c r="E4999" s="1" t="s">
        <v>18</v>
      </c>
      <c r="F4999" t="str">
        <f>HYPERLINK("http://www.sec.gov/Archives/edgar/data/1437402/0001193125-16-493375-index.html")</f>
        <v>http://www.sec.gov/Archives/edgar/data/1437402/0001193125-16-493375-index.html</v>
      </c>
    </row>
    <row r="5000" spans="1:6" x14ac:dyDescent="0.2">
      <c r="A5000" t="s">
        <v>4529</v>
      </c>
      <c r="B5000" s="1">
        <v>1458962</v>
      </c>
      <c r="C5000" s="1">
        <v>7374</v>
      </c>
      <c r="D5000" s="2">
        <v>42433</v>
      </c>
      <c r="E5000" s="1" t="s">
        <v>18</v>
      </c>
      <c r="F5000" t="str">
        <f>HYPERLINK("http://www.sec.gov/Archives/edgar/data/1458962/0001564590-16-014055-index.html")</f>
        <v>http://www.sec.gov/Archives/edgar/data/1458962/0001564590-16-014055-index.html</v>
      </c>
    </row>
    <row r="5001" spans="1:6" x14ac:dyDescent="0.2">
      <c r="A5001" t="s">
        <v>4530</v>
      </c>
      <c r="B5001" s="1">
        <v>1464720</v>
      </c>
      <c r="C5001" s="1">
        <v>6500</v>
      </c>
      <c r="D5001" s="2">
        <v>42433</v>
      </c>
      <c r="E5001" s="1" t="s">
        <v>18</v>
      </c>
      <c r="F5001" t="str">
        <f>HYPERLINK("http://www.sec.gov/Archives/edgar/data/1464720/0001193125-16-492974-index.html")</f>
        <v>http://www.sec.gov/Archives/edgar/data/1464720/0001193125-16-492974-index.html</v>
      </c>
    </row>
    <row r="5002" spans="1:6" x14ac:dyDescent="0.2">
      <c r="A5002" t="s">
        <v>4531</v>
      </c>
      <c r="B5002" s="1">
        <v>1479290</v>
      </c>
      <c r="C5002" s="1">
        <v>2834</v>
      </c>
      <c r="D5002" s="2">
        <v>42433</v>
      </c>
      <c r="E5002" s="1" t="s">
        <v>18</v>
      </c>
      <c r="F5002" t="str">
        <f>HYPERLINK("http://www.sec.gov/Archives/edgar/data/1479290/0001479290-16-000031-index.html")</f>
        <v>http://www.sec.gov/Archives/edgar/data/1479290/0001479290-16-000031-index.html</v>
      </c>
    </row>
    <row r="5003" spans="1:6" x14ac:dyDescent="0.2">
      <c r="A5003" t="s">
        <v>4532</v>
      </c>
      <c r="B5003" s="1">
        <v>1485176</v>
      </c>
      <c r="C5003" s="1">
        <v>6036</v>
      </c>
      <c r="D5003" s="2">
        <v>42433</v>
      </c>
      <c r="E5003" s="1" t="s">
        <v>18</v>
      </c>
      <c r="F5003" t="str">
        <f>HYPERLINK("http://www.sec.gov/Archives/edgar/data/1485176/0001485176-16-000016-index.html")</f>
        <v>http://www.sec.gov/Archives/edgar/data/1485176/0001485176-16-000016-index.html</v>
      </c>
    </row>
    <row r="5004" spans="1:6" x14ac:dyDescent="0.2">
      <c r="A5004" t="s">
        <v>4533</v>
      </c>
      <c r="B5004" s="1">
        <v>1488075</v>
      </c>
      <c r="C5004" s="1">
        <v>7372</v>
      </c>
      <c r="D5004" s="2">
        <v>42433</v>
      </c>
      <c r="E5004" s="1" t="s">
        <v>18</v>
      </c>
      <c r="F5004" t="str">
        <f>HYPERLINK("http://www.sec.gov/Archives/edgar/data/1488075/0001488075-16-000145-index.html")</f>
        <v>http://www.sec.gov/Archives/edgar/data/1488075/0001488075-16-000145-index.html</v>
      </c>
    </row>
    <row r="5005" spans="1:6" x14ac:dyDescent="0.2">
      <c r="A5005" t="s">
        <v>4534</v>
      </c>
      <c r="B5005" s="1">
        <v>1490660</v>
      </c>
      <c r="C5005" s="1">
        <v>7372</v>
      </c>
      <c r="D5005" s="2">
        <v>42433</v>
      </c>
      <c r="E5005" s="1" t="s">
        <v>18</v>
      </c>
      <c r="F5005" t="str">
        <f>HYPERLINK("http://www.sec.gov/Archives/edgar/data/1490660/0001047469-16-010782-index.html")</f>
        <v>http://www.sec.gov/Archives/edgar/data/1490660/0001047469-16-010782-index.html</v>
      </c>
    </row>
    <row r="5006" spans="1:6" x14ac:dyDescent="0.2">
      <c r="A5006" t="s">
        <v>4535</v>
      </c>
      <c r="B5006" s="1">
        <v>1498864</v>
      </c>
      <c r="C5006" s="1">
        <v>6798</v>
      </c>
      <c r="D5006" s="2">
        <v>42433</v>
      </c>
      <c r="E5006" s="1" t="s">
        <v>18</v>
      </c>
      <c r="F5006" t="str">
        <f>HYPERLINK("http://www.sec.gov/Archives/edgar/data/1498864/0001185185-16-003844-index.html")</f>
        <v>http://www.sec.gov/Archives/edgar/data/1498864/0001185185-16-003844-index.html</v>
      </c>
    </row>
    <row r="5007" spans="1:6" x14ac:dyDescent="0.2">
      <c r="A5007" t="s">
        <v>4536</v>
      </c>
      <c r="B5007" s="1">
        <v>1499807</v>
      </c>
      <c r="C5007" s="1">
        <v>3841</v>
      </c>
      <c r="D5007" s="2">
        <v>42433</v>
      </c>
      <c r="E5007" s="1" t="s">
        <v>18</v>
      </c>
      <c r="F5007" t="str">
        <f>HYPERLINK("http://www.sec.gov/Archives/edgar/data/1499807/0001499807-16-000146-index.html")</f>
        <v>http://www.sec.gov/Archives/edgar/data/1499807/0001499807-16-000146-index.html</v>
      </c>
    </row>
    <row r="5008" spans="1:6" x14ac:dyDescent="0.2">
      <c r="A5008" t="s">
        <v>2017</v>
      </c>
      <c r="B5008" s="1">
        <v>1500123</v>
      </c>
      <c r="C5008" s="1">
        <v>3843</v>
      </c>
      <c r="D5008" s="2">
        <v>42433</v>
      </c>
      <c r="E5008" s="1" t="s">
        <v>18</v>
      </c>
      <c r="F5008" t="str">
        <f>HYPERLINK("http://www.sec.gov/Archives/edgar/data/1500123/0001554795-16-000564-index.html")</f>
        <v>http://www.sec.gov/Archives/edgar/data/1500123/0001554795-16-000564-index.html</v>
      </c>
    </row>
    <row r="5009" spans="1:6" x14ac:dyDescent="0.2">
      <c r="A5009" t="s">
        <v>4537</v>
      </c>
      <c r="B5009" s="1">
        <v>1501756</v>
      </c>
      <c r="C5009" s="1">
        <v>2836</v>
      </c>
      <c r="D5009" s="2">
        <v>42433</v>
      </c>
      <c r="E5009" s="1" t="s">
        <v>18</v>
      </c>
      <c r="F5009" t="str">
        <f>HYPERLINK("http://www.sec.gov/Archives/edgar/data/1501756/0001564590-16-014022-index.html")</f>
        <v>http://www.sec.gov/Archives/edgar/data/1501756/0001564590-16-014022-index.html</v>
      </c>
    </row>
    <row r="5010" spans="1:6" x14ac:dyDescent="0.2">
      <c r="A5010" t="s">
        <v>4538</v>
      </c>
      <c r="B5010" s="1">
        <v>1507277</v>
      </c>
      <c r="C5010" s="1">
        <v>6022</v>
      </c>
      <c r="D5010" s="2">
        <v>42433</v>
      </c>
      <c r="E5010" s="1" t="s">
        <v>18</v>
      </c>
      <c r="F5010" t="str">
        <f>HYPERLINK("http://www.sec.gov/Archives/edgar/data/1507277/0001437749-16-026858-index.html")</f>
        <v>http://www.sec.gov/Archives/edgar/data/1507277/0001437749-16-026858-index.html</v>
      </c>
    </row>
    <row r="5011" spans="1:6" x14ac:dyDescent="0.2">
      <c r="A5011" t="s">
        <v>4539</v>
      </c>
      <c r="B5011" s="1">
        <v>1512931</v>
      </c>
      <c r="C5011" s="1">
        <v>6798</v>
      </c>
      <c r="D5011" s="2">
        <v>42433</v>
      </c>
      <c r="E5011" s="1" t="s">
        <v>18</v>
      </c>
      <c r="F5011" t="str">
        <f>HYPERLINK("http://www.sec.gov/Archives/edgar/data/1512931/0001144204-16-085951-index.html")</f>
        <v>http://www.sec.gov/Archives/edgar/data/1512931/0001144204-16-085951-index.html</v>
      </c>
    </row>
    <row r="5012" spans="1:6" x14ac:dyDescent="0.2">
      <c r="A5012" t="s">
        <v>4540</v>
      </c>
      <c r="B5012" s="1">
        <v>1515980</v>
      </c>
      <c r="C5012" s="1">
        <v>6798</v>
      </c>
      <c r="D5012" s="2">
        <v>42433</v>
      </c>
      <c r="E5012" s="1" t="s">
        <v>18</v>
      </c>
      <c r="F5012" t="str">
        <f>HYPERLINK("http://www.sec.gov/Archives/edgar/data/1515980/0001515980-16-000018-index.html")</f>
        <v>http://www.sec.gov/Archives/edgar/data/1515980/0001515980-16-000018-index.html</v>
      </c>
    </row>
    <row r="5013" spans="1:6" x14ac:dyDescent="0.2">
      <c r="A5013" t="s">
        <v>4541</v>
      </c>
      <c r="B5013" s="1">
        <v>1517175</v>
      </c>
      <c r="C5013" s="1">
        <v>5141</v>
      </c>
      <c r="D5013" s="2">
        <v>42433</v>
      </c>
      <c r="E5013" s="1" t="s">
        <v>18</v>
      </c>
      <c r="F5013" t="str">
        <f>HYPERLINK("http://www.sec.gov/Archives/edgar/data/1517175/0001387131-16-004474-index.html")</f>
        <v>http://www.sec.gov/Archives/edgar/data/1517175/0001387131-16-004474-index.html</v>
      </c>
    </row>
    <row r="5014" spans="1:6" x14ac:dyDescent="0.2">
      <c r="A5014" t="s">
        <v>4542</v>
      </c>
      <c r="B5014" s="1">
        <v>1538822</v>
      </c>
      <c r="C5014" s="1">
        <v>1311</v>
      </c>
      <c r="D5014" s="2">
        <v>42433</v>
      </c>
      <c r="E5014" s="1" t="s">
        <v>18</v>
      </c>
      <c r="F5014" t="str">
        <f>HYPERLINK("http://www.sec.gov/Archives/edgar/data/1538822/0001104659-16-102666-index.html")</f>
        <v>http://www.sec.gov/Archives/edgar/data/1538822/0001104659-16-102666-index.html</v>
      </c>
    </row>
    <row r="5015" spans="1:6" x14ac:dyDescent="0.2">
      <c r="A5015" t="s">
        <v>4543</v>
      </c>
      <c r="B5015" s="1">
        <v>1552493</v>
      </c>
      <c r="C5015" s="1">
        <v>6159</v>
      </c>
      <c r="D5015" s="2">
        <v>42433</v>
      </c>
      <c r="E5015" s="1" t="s">
        <v>18</v>
      </c>
      <c r="F5015" t="str">
        <f>HYPERLINK("http://www.sec.gov/Archives/edgar/data/1552493/0001047469-16-010779-index.html")</f>
        <v>http://www.sec.gov/Archives/edgar/data/1552493/0001047469-16-010779-index.html</v>
      </c>
    </row>
    <row r="5016" spans="1:6" x14ac:dyDescent="0.2">
      <c r="A5016" t="s">
        <v>4544</v>
      </c>
      <c r="B5016" s="1">
        <v>1557883</v>
      </c>
      <c r="C5016" s="1">
        <v>2834</v>
      </c>
      <c r="D5016" s="2">
        <v>42433</v>
      </c>
      <c r="E5016" s="1" t="s">
        <v>18</v>
      </c>
      <c r="F5016" t="str">
        <f>HYPERLINK("http://www.sec.gov/Archives/edgar/data/1557883/0001047469-16-010731-index.html")</f>
        <v>http://www.sec.gov/Archives/edgar/data/1557883/0001047469-16-010731-index.html</v>
      </c>
    </row>
    <row r="5017" spans="1:6" x14ac:dyDescent="0.2">
      <c r="A5017" t="s">
        <v>4545</v>
      </c>
      <c r="B5017" s="1">
        <v>1561743</v>
      </c>
      <c r="C5017" s="1">
        <v>2834</v>
      </c>
      <c r="D5017" s="2">
        <v>42433</v>
      </c>
      <c r="E5017" s="1" t="s">
        <v>18</v>
      </c>
      <c r="F5017" t="str">
        <f>HYPERLINK("http://www.sec.gov/Archives/edgar/data/1561743/0001561743-16-000051-index.html")</f>
        <v>http://www.sec.gov/Archives/edgar/data/1561743/0001561743-16-000051-index.html</v>
      </c>
    </row>
    <row r="5018" spans="1:6" x14ac:dyDescent="0.2">
      <c r="A5018" t="s">
        <v>4546</v>
      </c>
      <c r="B5018" s="1">
        <v>1565337</v>
      </c>
      <c r="C5018" s="1">
        <v>7372</v>
      </c>
      <c r="D5018" s="2">
        <v>42433</v>
      </c>
      <c r="E5018" s="1" t="s">
        <v>18</v>
      </c>
      <c r="F5018" t="str">
        <f>HYPERLINK("http://www.sec.gov/Archives/edgar/data/1565337/0001565337-16-000140-index.html")</f>
        <v>http://www.sec.gov/Archives/edgar/data/1565337/0001565337-16-000140-index.html</v>
      </c>
    </row>
    <row r="5019" spans="1:6" x14ac:dyDescent="0.2">
      <c r="A5019" t="s">
        <v>4547</v>
      </c>
      <c r="B5019" s="1">
        <v>1569994</v>
      </c>
      <c r="C5019" s="1">
        <v>6035</v>
      </c>
      <c r="D5019" s="2">
        <v>42433</v>
      </c>
      <c r="E5019" s="1" t="s">
        <v>18</v>
      </c>
      <c r="F5019" t="str">
        <f>HYPERLINK("http://www.sec.gov/Archives/edgar/data/1569994/0001569994-16-000078-index.html")</f>
        <v>http://www.sec.gov/Archives/edgar/data/1569994/0001569994-16-000078-index.html</v>
      </c>
    </row>
    <row r="5020" spans="1:6" x14ac:dyDescent="0.2">
      <c r="A5020" t="s">
        <v>4548</v>
      </c>
      <c r="B5020" s="1">
        <v>1570774</v>
      </c>
      <c r="C5020" s="1">
        <v>3715</v>
      </c>
      <c r="D5020" s="2">
        <v>42433</v>
      </c>
      <c r="E5020" s="1" t="s">
        <v>18</v>
      </c>
      <c r="F5020" t="str">
        <f>HYPERLINK("http://www.sec.gov/Archives/edgar/data/1570774/0001047469-16-010786-index.html")</f>
        <v>http://www.sec.gov/Archives/edgar/data/1570774/0001047469-16-010786-index.html</v>
      </c>
    </row>
    <row r="5021" spans="1:6" x14ac:dyDescent="0.2">
      <c r="A5021" t="s">
        <v>4549</v>
      </c>
      <c r="B5021" s="1">
        <v>1585790</v>
      </c>
      <c r="C5021" s="1">
        <v>4953</v>
      </c>
      <c r="D5021" s="2">
        <v>42433</v>
      </c>
      <c r="E5021" s="1" t="s">
        <v>18</v>
      </c>
      <c r="F5021" t="str">
        <f>HYPERLINK("http://www.sec.gov/Archives/edgar/data/1585790/0001628280-16-012283-index.html")</f>
        <v>http://www.sec.gov/Archives/edgar/data/1585790/0001628280-16-012283-index.html</v>
      </c>
    </row>
    <row r="5022" spans="1:6" x14ac:dyDescent="0.2">
      <c r="A5022" t="s">
        <v>4550</v>
      </c>
      <c r="B5022" s="1">
        <v>1593222</v>
      </c>
      <c r="C5022" s="1">
        <v>6798</v>
      </c>
      <c r="D5022" s="2">
        <v>42433</v>
      </c>
      <c r="E5022" s="1" t="s">
        <v>18</v>
      </c>
      <c r="F5022" t="str">
        <f>HYPERLINK("http://www.sec.gov/Archives/edgar/data/1593222/0001193125-16-492056-index.html")</f>
        <v>http://www.sec.gov/Archives/edgar/data/1593222/0001193125-16-492056-index.html</v>
      </c>
    </row>
    <row r="5023" spans="1:6" x14ac:dyDescent="0.2">
      <c r="A5023" t="s">
        <v>4551</v>
      </c>
      <c r="B5023" s="1">
        <v>1595974</v>
      </c>
      <c r="C5023" s="1">
        <v>7370</v>
      </c>
      <c r="D5023" s="2">
        <v>42433</v>
      </c>
      <c r="E5023" s="1" t="s">
        <v>18</v>
      </c>
      <c r="F5023" t="str">
        <f>HYPERLINK("http://www.sec.gov/Archives/edgar/data/1595974/0001628280-16-012273-index.html")</f>
        <v>http://www.sec.gov/Archives/edgar/data/1595974/0001628280-16-012273-index.html</v>
      </c>
    </row>
    <row r="5024" spans="1:6" x14ac:dyDescent="0.2">
      <c r="A5024" t="s">
        <v>4552</v>
      </c>
      <c r="B5024" s="1">
        <v>1600470</v>
      </c>
      <c r="C5024" s="1">
        <v>1311</v>
      </c>
      <c r="D5024" s="2">
        <v>42433</v>
      </c>
      <c r="E5024" s="1" t="s">
        <v>18</v>
      </c>
      <c r="F5024" t="str">
        <f>HYPERLINK("http://www.sec.gov/Archives/edgar/data/1600470/0001193125-16-492051-index.html")</f>
        <v>http://www.sec.gov/Archives/edgar/data/1600470/0001193125-16-492051-index.html</v>
      </c>
    </row>
    <row r="5025" spans="1:6" x14ac:dyDescent="0.2">
      <c r="A5025" t="s">
        <v>4553</v>
      </c>
      <c r="B5025" s="1">
        <v>1604464</v>
      </c>
      <c r="C5025" s="1">
        <v>2836</v>
      </c>
      <c r="D5025" s="2">
        <v>42433</v>
      </c>
      <c r="E5025" s="1" t="s">
        <v>18</v>
      </c>
      <c r="F5025" t="str">
        <f>HYPERLINK("http://www.sec.gov/Archives/edgar/data/1604464/0001564590-16-014061-index.html")</f>
        <v>http://www.sec.gov/Archives/edgar/data/1604464/0001564590-16-014061-index.html</v>
      </c>
    </row>
    <row r="5026" spans="1:6" x14ac:dyDescent="0.2">
      <c r="A5026" t="s">
        <v>4554</v>
      </c>
      <c r="B5026" s="1">
        <v>1609234</v>
      </c>
      <c r="C5026" s="1">
        <v>6798</v>
      </c>
      <c r="D5026" s="2">
        <v>42433</v>
      </c>
      <c r="E5026" s="1" t="s">
        <v>18</v>
      </c>
      <c r="F5026" t="str">
        <f>HYPERLINK("http://www.sec.gov/Archives/edgar/data/1609234/0001609234-16-000027-index.html")</f>
        <v>http://www.sec.gov/Archives/edgar/data/1609234/0001609234-16-000027-index.html</v>
      </c>
    </row>
    <row r="5027" spans="1:6" x14ac:dyDescent="0.2">
      <c r="A5027" t="s">
        <v>4555</v>
      </c>
      <c r="B5027" s="1">
        <v>1614502</v>
      </c>
      <c r="C5027" s="1">
        <v>6798</v>
      </c>
      <c r="D5027" s="2">
        <v>42433</v>
      </c>
      <c r="E5027" s="1" t="s">
        <v>18</v>
      </c>
      <c r="F5027" t="str">
        <f>HYPERLINK("http://www.sec.gov/Archives/edgar/data/1614502/0001614502-16-000012-index.html")</f>
        <v>http://www.sec.gov/Archives/edgar/data/1614502/0001614502-16-000012-index.html</v>
      </c>
    </row>
    <row r="5028" spans="1:6" x14ac:dyDescent="0.2">
      <c r="A5028" t="s">
        <v>4556</v>
      </c>
      <c r="B5028" s="1">
        <v>1636222</v>
      </c>
      <c r="C5028" s="1">
        <v>5812</v>
      </c>
      <c r="D5028" s="2">
        <v>42433</v>
      </c>
      <c r="E5028" s="1" t="s">
        <v>18</v>
      </c>
      <c r="F5028" t="str">
        <f>HYPERLINK("http://www.sec.gov/Archives/edgar/data/1636222/0001636222-16-000029-index.html")</f>
        <v>http://www.sec.gov/Archives/edgar/data/1636222/0001636222-16-000029-index.html</v>
      </c>
    </row>
    <row r="5029" spans="1:6" x14ac:dyDescent="0.2">
      <c r="A5029" t="s">
        <v>4557</v>
      </c>
      <c r="B5029" s="1">
        <v>1637207</v>
      </c>
      <c r="C5029" s="1">
        <v>7997</v>
      </c>
      <c r="D5029" s="2">
        <v>42433</v>
      </c>
      <c r="E5029" s="1" t="s">
        <v>18</v>
      </c>
      <c r="F5029" t="str">
        <f>HYPERLINK("http://www.sec.gov/Archives/edgar/data/1637207/0001564590-16-014027-index.html")</f>
        <v>http://www.sec.gov/Archives/edgar/data/1637207/0001564590-16-014027-index.html</v>
      </c>
    </row>
    <row r="5030" spans="1:6" x14ac:dyDescent="0.2">
      <c r="A5030" t="s">
        <v>4558</v>
      </c>
      <c r="B5030" s="1">
        <v>1639691</v>
      </c>
      <c r="C5030" s="1">
        <v>3845</v>
      </c>
      <c r="D5030" s="2">
        <v>42433</v>
      </c>
      <c r="E5030" s="1" t="s">
        <v>21</v>
      </c>
      <c r="F5030" t="str">
        <f>HYPERLINK("http://www.sec.gov/Archives/edgar/data/1639691/0001639691-16-000034-index.html")</f>
        <v>http://www.sec.gov/Archives/edgar/data/1639691/0001639691-16-000034-index.html</v>
      </c>
    </row>
    <row r="5031" spans="1:6" x14ac:dyDescent="0.2">
      <c r="A5031" t="s">
        <v>4559</v>
      </c>
      <c r="B5031" s="1">
        <v>1641489</v>
      </c>
      <c r="C5031" s="1">
        <v>2834</v>
      </c>
      <c r="D5031" s="2">
        <v>42433</v>
      </c>
      <c r="E5031" s="1" t="s">
        <v>18</v>
      </c>
      <c r="F5031" t="str">
        <f>HYPERLINK("http://www.sec.gov/Archives/edgar/data/1641489/0001564590-16-014035-index.html")</f>
        <v>http://www.sec.gov/Archives/edgar/data/1641489/0001564590-16-014035-index.html</v>
      </c>
    </row>
    <row r="5032" spans="1:6" x14ac:dyDescent="0.2">
      <c r="A5032" t="s">
        <v>4560</v>
      </c>
      <c r="B5032" s="1">
        <v>216085</v>
      </c>
      <c r="C5032" s="1">
        <v>5712</v>
      </c>
      <c r="D5032" s="2">
        <v>42433</v>
      </c>
      <c r="E5032" s="1" t="s">
        <v>18</v>
      </c>
      <c r="F5032" t="str">
        <f>HYPERLINK("http://www.sec.gov/Archives/edgar/data/216085/0000216085-16-000043-index.html")</f>
        <v>http://www.sec.gov/Archives/edgar/data/216085/0000216085-16-000043-index.html</v>
      </c>
    </row>
    <row r="5033" spans="1:6" x14ac:dyDescent="0.2">
      <c r="A5033" t="s">
        <v>4561</v>
      </c>
      <c r="B5033" s="1">
        <v>275119</v>
      </c>
      <c r="C5033" s="1">
        <v>6022</v>
      </c>
      <c r="D5033" s="2">
        <v>42433</v>
      </c>
      <c r="E5033" s="1" t="s">
        <v>18</v>
      </c>
      <c r="F5033" t="str">
        <f>HYPERLINK("http://www.sec.gov/Archives/edgar/data/275119/0000897101-16-001948-index.html")</f>
        <v>http://www.sec.gov/Archives/edgar/data/275119/0000897101-16-001948-index.html</v>
      </c>
    </row>
    <row r="5034" spans="1:6" x14ac:dyDescent="0.2">
      <c r="A5034" t="s">
        <v>1629</v>
      </c>
      <c r="B5034" s="1">
        <v>318996</v>
      </c>
      <c r="C5034" s="1">
        <v>1389</v>
      </c>
      <c r="D5034" s="2">
        <v>42433</v>
      </c>
      <c r="E5034" s="1" t="s">
        <v>18</v>
      </c>
      <c r="F5034" t="str">
        <f>HYPERLINK("http://www.sec.gov/Archives/edgar/data/318996/0000318996-16-000031-index.html")</f>
        <v>http://www.sec.gov/Archives/edgar/data/318996/0000318996-16-000031-index.html</v>
      </c>
    </row>
    <row r="5035" spans="1:6" x14ac:dyDescent="0.2">
      <c r="A5035" t="s">
        <v>4562</v>
      </c>
      <c r="B5035" s="1">
        <v>351817</v>
      </c>
      <c r="C5035" s="1">
        <v>1311</v>
      </c>
      <c r="D5035" s="2">
        <v>42433</v>
      </c>
      <c r="E5035" s="1" t="s">
        <v>18</v>
      </c>
      <c r="F5035" t="str">
        <f>HYPERLINK("http://www.sec.gov/Archives/edgar/data/351817/0000351817-16-000042-index.html")</f>
        <v>http://www.sec.gov/Archives/edgar/data/351817/0000351817-16-000042-index.html</v>
      </c>
    </row>
    <row r="5036" spans="1:6" x14ac:dyDescent="0.2">
      <c r="A5036" t="s">
        <v>4563</v>
      </c>
      <c r="B5036" s="1">
        <v>357301</v>
      </c>
      <c r="C5036" s="1">
        <v>6022</v>
      </c>
      <c r="D5036" s="2">
        <v>42433</v>
      </c>
      <c r="E5036" s="1" t="s">
        <v>18</v>
      </c>
      <c r="F5036" t="str">
        <f>HYPERLINK("http://www.sec.gov/Archives/edgar/data/357301/0001140361-16-056528-index.html")</f>
        <v>http://www.sec.gov/Archives/edgar/data/357301/0001140361-16-056528-index.html</v>
      </c>
    </row>
    <row r="5037" spans="1:6" x14ac:dyDescent="0.2">
      <c r="A5037" t="s">
        <v>4564</v>
      </c>
      <c r="B5037" s="1">
        <v>39677</v>
      </c>
      <c r="C5037" s="1">
        <v>1531</v>
      </c>
      <c r="D5037" s="2">
        <v>42433</v>
      </c>
      <c r="E5037" s="1" t="s">
        <v>18</v>
      </c>
      <c r="F5037" t="str">
        <f>HYPERLINK("http://www.sec.gov/Archives/edgar/data/39677/0001628280-16-012298-index.html")</f>
        <v>http://www.sec.gov/Archives/edgar/data/39677/0001628280-16-012298-index.html</v>
      </c>
    </row>
    <row r="5038" spans="1:6" x14ac:dyDescent="0.2">
      <c r="A5038" t="s">
        <v>4565</v>
      </c>
      <c r="B5038" s="1">
        <v>66004</v>
      </c>
      <c r="C5038" s="1">
        <v>4941</v>
      </c>
      <c r="D5038" s="2">
        <v>42433</v>
      </c>
      <c r="E5038" s="1" t="s">
        <v>18</v>
      </c>
      <c r="F5038" t="str">
        <f>HYPERLINK("http://www.sec.gov/Archives/edgar/data/66004/0001174947-16-002165-index.html")</f>
        <v>http://www.sec.gov/Archives/edgar/data/66004/0001174947-16-002165-index.html</v>
      </c>
    </row>
    <row r="5039" spans="1:6" x14ac:dyDescent="0.2">
      <c r="A5039" t="s">
        <v>4566</v>
      </c>
      <c r="B5039" s="1">
        <v>67279</v>
      </c>
      <c r="C5039" s="1">
        <v>3829</v>
      </c>
      <c r="D5039" s="2">
        <v>42433</v>
      </c>
      <c r="E5039" s="1" t="s">
        <v>18</v>
      </c>
      <c r="F5039" t="str">
        <f>HYPERLINK("http://www.sec.gov/Archives/edgar/data/67279/0001437749-16-026850-index.html")</f>
        <v>http://www.sec.gov/Archives/edgar/data/67279/0001437749-16-026850-index.html</v>
      </c>
    </row>
    <row r="5040" spans="1:6" x14ac:dyDescent="0.2">
      <c r="A5040" t="s">
        <v>4567</v>
      </c>
      <c r="B5040" s="1">
        <v>700565</v>
      </c>
      <c r="C5040" s="1">
        <v>6022</v>
      </c>
      <c r="D5040" s="2">
        <v>42433</v>
      </c>
      <c r="E5040" s="1" t="s">
        <v>18</v>
      </c>
      <c r="F5040" t="str">
        <f>HYPERLINK("http://www.sec.gov/Archives/edgar/data/700565/0000700565-16-000089-index.html")</f>
        <v>http://www.sec.gov/Archives/edgar/data/700565/0000700565-16-000089-index.html</v>
      </c>
    </row>
    <row r="5041" spans="1:6" x14ac:dyDescent="0.2">
      <c r="A5041" t="s">
        <v>4568</v>
      </c>
      <c r="B5041" s="1">
        <v>704415</v>
      </c>
      <c r="C5041" s="1">
        <v>8090</v>
      </c>
      <c r="D5041" s="2">
        <v>42433</v>
      </c>
      <c r="E5041" s="1" t="s">
        <v>18</v>
      </c>
      <c r="F5041" t="str">
        <f>HYPERLINK("http://www.sec.gov/Archives/edgar/data/704415/0000704415-16-000065-index.html")</f>
        <v>http://www.sec.gov/Archives/edgar/data/704415/0000704415-16-000065-index.html</v>
      </c>
    </row>
    <row r="5042" spans="1:6" x14ac:dyDescent="0.2">
      <c r="A5042" t="s">
        <v>4569</v>
      </c>
      <c r="B5042" s="1">
        <v>70487</v>
      </c>
      <c r="C5042" s="1">
        <v>8731</v>
      </c>
      <c r="D5042" s="2">
        <v>42433</v>
      </c>
      <c r="E5042" s="1" t="s">
        <v>18</v>
      </c>
      <c r="F5042" t="str">
        <f>HYPERLINK("http://www.sec.gov/Archives/edgar/data/70487/0001437749-16-026817-index.html")</f>
        <v>http://www.sec.gov/Archives/edgar/data/70487/0001437749-16-026817-index.html</v>
      </c>
    </row>
    <row r="5043" spans="1:6" x14ac:dyDescent="0.2">
      <c r="A5043" t="s">
        <v>4570</v>
      </c>
      <c r="B5043" s="1">
        <v>712771</v>
      </c>
      <c r="C5043" s="1">
        <v>6022</v>
      </c>
      <c r="D5043" s="2">
        <v>42433</v>
      </c>
      <c r="E5043" s="1" t="s">
        <v>18</v>
      </c>
      <c r="F5043" t="str">
        <f>HYPERLINK("http://www.sec.gov/Archives/edgar/data/712771/0001206774-16-004799-index.html")</f>
        <v>http://www.sec.gov/Archives/edgar/data/712771/0001206774-16-004799-index.html</v>
      </c>
    </row>
    <row r="5044" spans="1:6" x14ac:dyDescent="0.2">
      <c r="A5044" t="s">
        <v>4571</v>
      </c>
      <c r="B5044" s="1">
        <v>715579</v>
      </c>
      <c r="C5044" s="1">
        <v>6022</v>
      </c>
      <c r="D5044" s="2">
        <v>42433</v>
      </c>
      <c r="E5044" s="1" t="s">
        <v>18</v>
      </c>
      <c r="F5044" t="str">
        <f>HYPERLINK("http://www.sec.gov/Archives/edgar/data/715579/0001047469-16-010754-index.html")</f>
        <v>http://www.sec.gov/Archives/edgar/data/715579/0001047469-16-010754-index.html</v>
      </c>
    </row>
    <row r="5045" spans="1:6" x14ac:dyDescent="0.2">
      <c r="A5045" t="s">
        <v>4572</v>
      </c>
      <c r="B5045" s="1">
        <v>726293</v>
      </c>
      <c r="C5045" s="1">
        <v>100</v>
      </c>
      <c r="D5045" s="2">
        <v>42433</v>
      </c>
      <c r="E5045" s="1" t="s">
        <v>21</v>
      </c>
      <c r="F5045" t="str">
        <f>HYPERLINK("http://www.sec.gov/Archives/edgar/data/726293/0001445866-16-001670-index.html")</f>
        <v>http://www.sec.gov/Archives/edgar/data/726293/0001445866-16-001670-index.html</v>
      </c>
    </row>
    <row r="5046" spans="1:6" x14ac:dyDescent="0.2">
      <c r="A5046" t="s">
        <v>4573</v>
      </c>
      <c r="B5046" s="1">
        <v>736772</v>
      </c>
      <c r="C5046" s="1">
        <v>6022</v>
      </c>
      <c r="D5046" s="2">
        <v>42433</v>
      </c>
      <c r="E5046" s="1" t="s">
        <v>18</v>
      </c>
      <c r="F5046" t="str">
        <f>HYPERLINK("http://www.sec.gov/Archives/edgar/data/736772/0001193125-16-493112-index.html")</f>
        <v>http://www.sec.gov/Archives/edgar/data/736772/0001193125-16-493112-index.html</v>
      </c>
    </row>
    <row r="5047" spans="1:6" x14ac:dyDescent="0.2">
      <c r="A5047" t="s">
        <v>4574</v>
      </c>
      <c r="B5047" s="1">
        <v>771266</v>
      </c>
      <c r="C5047" s="1">
        <v>3674</v>
      </c>
      <c r="D5047" s="2">
        <v>42433</v>
      </c>
      <c r="E5047" s="1" t="s">
        <v>18</v>
      </c>
      <c r="F5047" t="str">
        <f>HYPERLINK("http://www.sec.gov/Archives/edgar/data/771266/0000771266-16-000071-index.html")</f>
        <v>http://www.sec.gov/Archives/edgar/data/771266/0000771266-16-000071-index.html</v>
      </c>
    </row>
    <row r="5048" spans="1:6" x14ac:dyDescent="0.2">
      <c r="A5048" t="s">
        <v>4575</v>
      </c>
      <c r="B5048" s="1">
        <v>791519</v>
      </c>
      <c r="C5048" s="1">
        <v>5940</v>
      </c>
      <c r="D5048" s="2">
        <v>42433</v>
      </c>
      <c r="E5048" s="1" t="s">
        <v>18</v>
      </c>
      <c r="F5048" t="str">
        <f>HYPERLINK("http://www.sec.gov/Archives/edgar/data/791519/0000791519-16-000102-index.html")</f>
        <v>http://www.sec.gov/Archives/edgar/data/791519/0000791519-16-000102-index.html</v>
      </c>
    </row>
    <row r="5049" spans="1:6" x14ac:dyDescent="0.2">
      <c r="A5049" t="s">
        <v>4576</v>
      </c>
      <c r="B5049" s="1">
        <v>791963</v>
      </c>
      <c r="C5049" s="1">
        <v>6211</v>
      </c>
      <c r="D5049" s="2">
        <v>42433</v>
      </c>
      <c r="E5049" s="1" t="s">
        <v>18</v>
      </c>
      <c r="F5049" t="str">
        <f>HYPERLINK("http://www.sec.gov/Archives/edgar/data/791963/0000791963-16-000032-index.html")</f>
        <v>http://www.sec.gov/Archives/edgar/data/791963/0000791963-16-000032-index.html</v>
      </c>
    </row>
    <row r="5050" spans="1:6" x14ac:dyDescent="0.2">
      <c r="A5050" t="s">
        <v>4577</v>
      </c>
      <c r="B5050" s="1">
        <v>798783</v>
      </c>
      <c r="C5050" s="1">
        <v>6798</v>
      </c>
      <c r="D5050" s="2">
        <v>42433</v>
      </c>
      <c r="E5050" s="1" t="s">
        <v>18</v>
      </c>
      <c r="F5050" t="str">
        <f>HYPERLINK("http://www.sec.gov/Archives/edgar/data/798783/0001564590-16-014024-index.html")</f>
        <v>http://www.sec.gov/Archives/edgar/data/798783/0001564590-16-014024-index.html</v>
      </c>
    </row>
    <row r="5051" spans="1:6" x14ac:dyDescent="0.2">
      <c r="A5051" t="s">
        <v>4578</v>
      </c>
      <c r="B5051" s="1">
        <v>82020</v>
      </c>
      <c r="C5051" s="1">
        <v>1400</v>
      </c>
      <c r="D5051" s="2">
        <v>42433</v>
      </c>
      <c r="E5051" s="1" t="s">
        <v>18</v>
      </c>
      <c r="F5051" t="str">
        <f>HYPERLINK("http://www.sec.gov/Archives/edgar/data/82020/0001558370-16-003845-index.html")</f>
        <v>http://www.sec.gov/Archives/edgar/data/82020/0001558370-16-003845-index.html</v>
      </c>
    </row>
    <row r="5052" spans="1:6" x14ac:dyDescent="0.2">
      <c r="A5052" t="s">
        <v>4579</v>
      </c>
      <c r="B5052" s="1">
        <v>824410</v>
      </c>
      <c r="C5052" s="1">
        <v>6021</v>
      </c>
      <c r="D5052" s="2">
        <v>42433</v>
      </c>
      <c r="E5052" s="1" t="s">
        <v>18</v>
      </c>
      <c r="F5052" t="str">
        <f>HYPERLINK("http://www.sec.gov/Archives/edgar/data/824410/0000824410-16-000015-index.html")</f>
        <v>http://www.sec.gov/Archives/edgar/data/824410/0000824410-16-000015-index.html</v>
      </c>
    </row>
    <row r="5053" spans="1:6" x14ac:dyDescent="0.2">
      <c r="A5053" t="s">
        <v>4580</v>
      </c>
      <c r="B5053" s="1">
        <v>835324</v>
      </c>
      <c r="C5053" s="1">
        <v>6022</v>
      </c>
      <c r="D5053" s="2">
        <v>42433</v>
      </c>
      <c r="E5053" s="1" t="s">
        <v>18</v>
      </c>
      <c r="F5053" t="str">
        <f>HYPERLINK("http://www.sec.gov/Archives/edgar/data/835324/0001437749-16-026823-index.html")</f>
        <v>http://www.sec.gov/Archives/edgar/data/835324/0001437749-16-026823-index.html</v>
      </c>
    </row>
    <row r="5054" spans="1:6" x14ac:dyDescent="0.2">
      <c r="A5054" t="s">
        <v>4581</v>
      </c>
      <c r="B5054" s="1">
        <v>837465</v>
      </c>
      <c r="C5054" s="1">
        <v>3949</v>
      </c>
      <c r="D5054" s="2">
        <v>42433</v>
      </c>
      <c r="E5054" s="1" t="s">
        <v>18</v>
      </c>
      <c r="F5054" t="str">
        <f>HYPERLINK("http://www.sec.gov/Archives/edgar/data/837465/0000837465-16-000014-index.html")</f>
        <v>http://www.sec.gov/Archives/edgar/data/837465/0000837465-16-000014-index.html</v>
      </c>
    </row>
    <row r="5055" spans="1:6" x14ac:dyDescent="0.2">
      <c r="A5055" t="s">
        <v>4582</v>
      </c>
      <c r="B5055" s="1">
        <v>844965</v>
      </c>
      <c r="C5055" s="1">
        <v>1311</v>
      </c>
      <c r="D5055" s="2">
        <v>42433</v>
      </c>
      <c r="E5055" s="1" t="s">
        <v>18</v>
      </c>
      <c r="F5055" t="str">
        <f>HYPERLINK("http://www.sec.gov/Archives/edgar/data/844965/0000844965-16-000116-index.html")</f>
        <v>http://www.sec.gov/Archives/edgar/data/844965/0000844965-16-000116-index.html</v>
      </c>
    </row>
    <row r="5056" spans="1:6" x14ac:dyDescent="0.2">
      <c r="A5056" t="s">
        <v>4583</v>
      </c>
      <c r="B5056" s="1">
        <v>859070</v>
      </c>
      <c r="C5056" s="1">
        <v>6022</v>
      </c>
      <c r="D5056" s="2">
        <v>42433</v>
      </c>
      <c r="E5056" s="1" t="s">
        <v>18</v>
      </c>
      <c r="F5056" t="str">
        <f>HYPERLINK("http://www.sec.gov/Archives/edgar/data/859070/0001193125-16-493278-index.html")</f>
        <v>http://www.sec.gov/Archives/edgar/data/859070/0001193125-16-493278-index.html</v>
      </c>
    </row>
    <row r="5057" spans="1:6" x14ac:dyDescent="0.2">
      <c r="A5057" t="s">
        <v>4584</v>
      </c>
      <c r="B5057" s="1">
        <v>86115</v>
      </c>
      <c r="C5057" s="1">
        <v>6799</v>
      </c>
      <c r="D5057" s="2">
        <v>42433</v>
      </c>
      <c r="E5057" s="1" t="s">
        <v>18</v>
      </c>
      <c r="F5057" t="str">
        <f>HYPERLINK("http://www.sec.gov/Archives/edgar/data/86115/0000086115-16-000121-index.html")</f>
        <v>http://www.sec.gov/Archives/edgar/data/86115/0000086115-16-000121-index.html</v>
      </c>
    </row>
    <row r="5058" spans="1:6" x14ac:dyDescent="0.2">
      <c r="A5058" t="s">
        <v>4585</v>
      </c>
      <c r="B5058" s="1">
        <v>865911</v>
      </c>
      <c r="C5058" s="1">
        <v>6022</v>
      </c>
      <c r="D5058" s="2">
        <v>42433</v>
      </c>
      <c r="E5058" s="1" t="s">
        <v>18</v>
      </c>
      <c r="F5058" t="str">
        <f>HYPERLINK("http://www.sec.gov/Archives/edgar/data/865911/0000865911-16-000055-index.html")</f>
        <v>http://www.sec.gov/Archives/edgar/data/865911/0000865911-16-000055-index.html</v>
      </c>
    </row>
    <row r="5059" spans="1:6" x14ac:dyDescent="0.2">
      <c r="A5059" t="s">
        <v>4586</v>
      </c>
      <c r="B5059" s="1">
        <v>872248</v>
      </c>
      <c r="C5059" s="1">
        <v>1311</v>
      </c>
      <c r="D5059" s="2">
        <v>42433</v>
      </c>
      <c r="E5059" s="1" t="s">
        <v>18</v>
      </c>
      <c r="F5059" t="str">
        <f>HYPERLINK("http://www.sec.gov/Archives/edgar/data/872248/0000872248-16-000132-index.html")</f>
        <v>http://www.sec.gov/Archives/edgar/data/872248/0000872248-16-000132-index.html</v>
      </c>
    </row>
    <row r="5060" spans="1:6" x14ac:dyDescent="0.2">
      <c r="A5060" t="s">
        <v>4587</v>
      </c>
      <c r="B5060" s="1">
        <v>885975</v>
      </c>
      <c r="C5060" s="1">
        <v>7830</v>
      </c>
      <c r="D5060" s="2">
        <v>42433</v>
      </c>
      <c r="E5060" s="1" t="s">
        <v>18</v>
      </c>
      <c r="F5060" t="str">
        <f>HYPERLINK("http://www.sec.gov/Archives/edgar/data/885975/0001193125-16-492225-index.html")</f>
        <v>http://www.sec.gov/Archives/edgar/data/885975/0001193125-16-492225-index.html</v>
      </c>
    </row>
    <row r="5061" spans="1:6" x14ac:dyDescent="0.2">
      <c r="A5061" t="s">
        <v>4588</v>
      </c>
      <c r="B5061" s="1">
        <v>885978</v>
      </c>
      <c r="C5061" s="1">
        <v>8000</v>
      </c>
      <c r="D5061" s="2">
        <v>42433</v>
      </c>
      <c r="E5061" s="1" t="s">
        <v>18</v>
      </c>
      <c r="F5061" t="str">
        <f>HYPERLINK("http://www.sec.gov/Archives/edgar/data/885978/0001567619-16-001931-index.html")</f>
        <v>http://www.sec.gov/Archives/edgar/data/885978/0001567619-16-001931-index.html</v>
      </c>
    </row>
    <row r="5062" spans="1:6" x14ac:dyDescent="0.2">
      <c r="A5062" t="s">
        <v>4589</v>
      </c>
      <c r="B5062" s="1">
        <v>897077</v>
      </c>
      <c r="C5062" s="1">
        <v>3523</v>
      </c>
      <c r="D5062" s="2">
        <v>42433</v>
      </c>
      <c r="E5062" s="1" t="s">
        <v>18</v>
      </c>
      <c r="F5062" t="str">
        <f>HYPERLINK("http://www.sec.gov/Archives/edgar/data/897077/0000897077-16-000097-index.html")</f>
        <v>http://www.sec.gov/Archives/edgar/data/897077/0000897077-16-000097-index.html</v>
      </c>
    </row>
    <row r="5063" spans="1:6" x14ac:dyDescent="0.2">
      <c r="A5063" t="s">
        <v>4590</v>
      </c>
      <c r="B5063" s="1">
        <v>907254</v>
      </c>
      <c r="C5063" s="1">
        <v>6798</v>
      </c>
      <c r="D5063" s="2">
        <v>42433</v>
      </c>
      <c r="E5063" s="1" t="s">
        <v>18</v>
      </c>
      <c r="F5063" t="str">
        <f>HYPERLINK("http://www.sec.gov/Archives/edgar/data/907254/0000907254-16-000153-index.html")</f>
        <v>http://www.sec.gov/Archives/edgar/data/907254/0000907254-16-000153-index.html</v>
      </c>
    </row>
    <row r="5064" spans="1:6" x14ac:dyDescent="0.2">
      <c r="A5064" t="s">
        <v>4591</v>
      </c>
      <c r="B5064" s="1">
        <v>912061</v>
      </c>
      <c r="C5064" s="1">
        <v>5190</v>
      </c>
      <c r="D5064" s="2">
        <v>42433</v>
      </c>
      <c r="E5064" s="1" t="s">
        <v>18</v>
      </c>
      <c r="F5064" t="str">
        <f>HYPERLINK("http://www.sec.gov/Archives/edgar/data/912061/0000912061-16-000018-index.html")</f>
        <v>http://www.sec.gov/Archives/edgar/data/912061/0000912061-16-000018-index.html</v>
      </c>
    </row>
    <row r="5065" spans="1:6" x14ac:dyDescent="0.2">
      <c r="A5065" t="s">
        <v>4592</v>
      </c>
      <c r="B5065" s="1">
        <v>913341</v>
      </c>
      <c r="C5065" s="1">
        <v>6022</v>
      </c>
      <c r="D5065" s="2">
        <v>42433</v>
      </c>
      <c r="E5065" s="1" t="s">
        <v>18</v>
      </c>
      <c r="F5065" t="str">
        <f>HYPERLINK("http://www.sec.gov/Archives/edgar/data/913341/0001558370-16-003838-index.html")</f>
        <v>http://www.sec.gov/Archives/edgar/data/913341/0001558370-16-003838-index.html</v>
      </c>
    </row>
    <row r="5066" spans="1:6" x14ac:dyDescent="0.2">
      <c r="A5066" t="s">
        <v>4593</v>
      </c>
      <c r="B5066" s="1">
        <v>920427</v>
      </c>
      <c r="C5066" s="1">
        <v>6022</v>
      </c>
      <c r="D5066" s="2">
        <v>42433</v>
      </c>
      <c r="E5066" s="1" t="s">
        <v>18</v>
      </c>
      <c r="F5066" t="str">
        <f>HYPERLINK("http://www.sec.gov/Archives/edgar/data/920427/0000920427-16-000065-index.html")</f>
        <v>http://www.sec.gov/Archives/edgar/data/920427/0000920427-16-000065-index.html</v>
      </c>
    </row>
    <row r="5067" spans="1:6" x14ac:dyDescent="0.2">
      <c r="A5067" t="s">
        <v>4594</v>
      </c>
      <c r="B5067" s="1">
        <v>921547</v>
      </c>
      <c r="C5067" s="1">
        <v>6022</v>
      </c>
      <c r="D5067" s="2">
        <v>42433</v>
      </c>
      <c r="E5067" s="1" t="s">
        <v>18</v>
      </c>
      <c r="F5067" t="str">
        <f>HYPERLINK("http://www.sec.gov/Archives/edgar/data/921547/0001047469-16-010777-index.html")</f>
        <v>http://www.sec.gov/Archives/edgar/data/921547/0001047469-16-010777-index.html</v>
      </c>
    </row>
    <row r="5068" spans="1:6" x14ac:dyDescent="0.2">
      <c r="A5068" t="s">
        <v>4595</v>
      </c>
      <c r="B5068" s="1">
        <v>9346</v>
      </c>
      <c r="C5068" s="1">
        <v>6331</v>
      </c>
      <c r="D5068" s="2">
        <v>42433</v>
      </c>
      <c r="E5068" s="1" t="s">
        <v>18</v>
      </c>
      <c r="F5068" t="str">
        <f>HYPERLINK("http://www.sec.gov/Archives/edgar/data/9346/0000009346-16-000042-index.html")</f>
        <v>http://www.sec.gov/Archives/edgar/data/9346/0000009346-16-000042-index.html</v>
      </c>
    </row>
    <row r="5069" spans="1:6" x14ac:dyDescent="0.2">
      <c r="A5069" t="s">
        <v>4596</v>
      </c>
      <c r="B5069" s="1">
        <v>1012771</v>
      </c>
      <c r="C5069" s="1">
        <v>6311</v>
      </c>
      <c r="D5069" s="2">
        <v>42432</v>
      </c>
      <c r="E5069" s="1" t="s">
        <v>18</v>
      </c>
      <c r="F5069" t="str">
        <f>HYPERLINK("http://www.sec.gov/Archives/edgar/data/1012771/0001012771-16-000044-index.html")</f>
        <v>http://www.sec.gov/Archives/edgar/data/1012771/0001012771-16-000044-index.html</v>
      </c>
    </row>
    <row r="5070" spans="1:6" x14ac:dyDescent="0.2">
      <c r="A5070" t="s">
        <v>4597</v>
      </c>
      <c r="B5070" s="1">
        <v>1014739</v>
      </c>
      <c r="C5070" s="1">
        <v>8082</v>
      </c>
      <c r="D5070" s="2">
        <v>42432</v>
      </c>
      <c r="E5070" s="1" t="s">
        <v>18</v>
      </c>
      <c r="F5070" t="str">
        <f>HYPERLINK("http://www.sec.gov/Archives/edgar/data/1014739/0001014739-16-000021-index.html")</f>
        <v>http://www.sec.gov/Archives/edgar/data/1014739/0001014739-16-000021-index.html</v>
      </c>
    </row>
    <row r="5071" spans="1:6" x14ac:dyDescent="0.2">
      <c r="A5071" t="s">
        <v>4598</v>
      </c>
      <c r="B5071" s="1">
        <v>102752</v>
      </c>
      <c r="C5071" s="1">
        <v>8711</v>
      </c>
      <c r="D5071" s="2">
        <v>42432</v>
      </c>
      <c r="E5071" s="1" t="s">
        <v>18</v>
      </c>
      <c r="F5071" t="str">
        <f>HYPERLINK("http://www.sec.gov/Archives/edgar/data/102752/0000102752-16-000074-index.html")</f>
        <v>http://www.sec.gov/Archives/edgar/data/102752/0000102752-16-000074-index.html</v>
      </c>
    </row>
    <row r="5072" spans="1:6" x14ac:dyDescent="0.2">
      <c r="A5072" t="s">
        <v>4599</v>
      </c>
      <c r="B5072" s="1">
        <v>1037016</v>
      </c>
      <c r="C5072" s="1">
        <v>4812</v>
      </c>
      <c r="D5072" s="2">
        <v>42432</v>
      </c>
      <c r="E5072" s="1" t="s">
        <v>18</v>
      </c>
      <c r="F5072" t="str">
        <f>HYPERLINK("http://www.sec.gov/Archives/edgar/data/1037016/0001037016-16-000065-index.html")</f>
        <v>http://www.sec.gov/Archives/edgar/data/1037016/0001037016-16-000065-index.html</v>
      </c>
    </row>
    <row r="5073" spans="1:6" x14ac:dyDescent="0.2">
      <c r="A5073" t="s">
        <v>4600</v>
      </c>
      <c r="B5073" s="1">
        <v>1038222</v>
      </c>
      <c r="C5073" s="1">
        <v>7389</v>
      </c>
      <c r="D5073" s="2">
        <v>42432</v>
      </c>
      <c r="E5073" s="1" t="s">
        <v>18</v>
      </c>
      <c r="F5073" t="str">
        <f>HYPERLINK("http://www.sec.gov/Archives/edgar/data/1038222/0001193125-16-490801-index.html")</f>
        <v>http://www.sec.gov/Archives/edgar/data/1038222/0001193125-16-490801-index.html</v>
      </c>
    </row>
    <row r="5074" spans="1:6" x14ac:dyDescent="0.2">
      <c r="A5074" t="s">
        <v>4601</v>
      </c>
      <c r="B5074" s="1">
        <v>1049606</v>
      </c>
      <c r="C5074" s="1">
        <v>3420</v>
      </c>
      <c r="D5074" s="2">
        <v>42432</v>
      </c>
      <c r="E5074" s="1" t="s">
        <v>18</v>
      </c>
      <c r="F5074" t="str">
        <f>HYPERLINK("http://www.sec.gov/Archives/edgar/data/1049606/0001564590-16-013997-index.html")</f>
        <v>http://www.sec.gov/Archives/edgar/data/1049606/0001564590-16-013997-index.html</v>
      </c>
    </row>
    <row r="5075" spans="1:6" x14ac:dyDescent="0.2">
      <c r="A5075" t="s">
        <v>4602</v>
      </c>
      <c r="B5075" s="1">
        <v>1050377</v>
      </c>
      <c r="C5075" s="1">
        <v>5961</v>
      </c>
      <c r="D5075" s="2">
        <v>42432</v>
      </c>
      <c r="E5075" s="1" t="s">
        <v>18</v>
      </c>
      <c r="F5075" t="str">
        <f>HYPERLINK("http://www.sec.gov/Archives/edgar/data/1050377/0001558370-16-003815-index.html")</f>
        <v>http://www.sec.gov/Archives/edgar/data/1050377/0001558370-16-003815-index.html</v>
      </c>
    </row>
    <row r="5076" spans="1:6" x14ac:dyDescent="0.2">
      <c r="A5076" t="s">
        <v>4603</v>
      </c>
      <c r="B5076" s="1">
        <v>1059142</v>
      </c>
      <c r="C5076" s="1">
        <v>6199</v>
      </c>
      <c r="D5076" s="2">
        <v>42432</v>
      </c>
      <c r="E5076" s="1" t="s">
        <v>18</v>
      </c>
      <c r="F5076" t="str">
        <f>HYPERLINK("http://www.sec.gov/Archives/edgar/data/1059142/0001564590-16-013945-index.html")</f>
        <v>http://www.sec.gov/Archives/edgar/data/1059142/0001564590-16-013945-index.html</v>
      </c>
    </row>
    <row r="5077" spans="1:6" x14ac:dyDescent="0.2">
      <c r="A5077" t="s">
        <v>4604</v>
      </c>
      <c r="B5077" s="1">
        <v>1061983</v>
      </c>
      <c r="C5077" s="1">
        <v>2834</v>
      </c>
      <c r="D5077" s="2">
        <v>42432</v>
      </c>
      <c r="E5077" s="1" t="s">
        <v>18</v>
      </c>
      <c r="F5077" t="str">
        <f>HYPERLINK("http://www.sec.gov/Archives/edgar/data/1061983/0001193125-16-491656-index.html")</f>
        <v>http://www.sec.gov/Archives/edgar/data/1061983/0001193125-16-491656-index.html</v>
      </c>
    </row>
    <row r="5078" spans="1:6" x14ac:dyDescent="0.2">
      <c r="A5078" t="s">
        <v>4605</v>
      </c>
      <c r="B5078" s="1">
        <v>1069530</v>
      </c>
      <c r="C5078" s="1">
        <v>2834</v>
      </c>
      <c r="D5078" s="2">
        <v>42432</v>
      </c>
      <c r="E5078" s="1" t="s">
        <v>18</v>
      </c>
      <c r="F5078" t="str">
        <f>HYPERLINK("http://www.sec.gov/Archives/edgar/data/1069530/0001069530-16-000052-index.html")</f>
        <v>http://www.sec.gov/Archives/edgar/data/1069530/0001069530-16-000052-index.html</v>
      </c>
    </row>
    <row r="5079" spans="1:6" x14ac:dyDescent="0.2">
      <c r="A5079" t="s">
        <v>4606</v>
      </c>
      <c r="B5079" s="1">
        <v>1076481</v>
      </c>
      <c r="C5079" s="1">
        <v>3829</v>
      </c>
      <c r="D5079" s="2">
        <v>42432</v>
      </c>
      <c r="E5079" s="1" t="s">
        <v>18</v>
      </c>
      <c r="F5079" t="str">
        <f>HYPERLINK("http://www.sec.gov/Archives/edgar/data/1076481/0001076481-16-000070-index.html")</f>
        <v>http://www.sec.gov/Archives/edgar/data/1076481/0001076481-16-000070-index.html</v>
      </c>
    </row>
    <row r="5080" spans="1:6" x14ac:dyDescent="0.2">
      <c r="A5080" t="s">
        <v>4607</v>
      </c>
      <c r="B5080" s="1">
        <v>1085869</v>
      </c>
      <c r="C5080" s="1">
        <v>7371</v>
      </c>
      <c r="D5080" s="2">
        <v>42432</v>
      </c>
      <c r="E5080" s="1" t="s">
        <v>18</v>
      </c>
      <c r="F5080" t="str">
        <f>HYPERLINK("http://www.sec.gov/Archives/edgar/data/1085869/0001085869-16-000055-index.html")</f>
        <v>http://www.sec.gov/Archives/edgar/data/1085869/0001085869-16-000055-index.html</v>
      </c>
    </row>
    <row r="5081" spans="1:6" x14ac:dyDescent="0.2">
      <c r="A5081" t="s">
        <v>4608</v>
      </c>
      <c r="B5081" s="1">
        <v>1102266</v>
      </c>
      <c r="C5081" s="1">
        <v>6021</v>
      </c>
      <c r="D5081" s="2">
        <v>42432</v>
      </c>
      <c r="E5081" s="1" t="s">
        <v>18</v>
      </c>
      <c r="F5081" t="str">
        <f>HYPERLINK("http://www.sec.gov/Archives/edgar/data/1102266/0001564590-16-013938-index.html")</f>
        <v>http://www.sec.gov/Archives/edgar/data/1102266/0001564590-16-013938-index.html</v>
      </c>
    </row>
    <row r="5082" spans="1:6" x14ac:dyDescent="0.2">
      <c r="A5082" t="s">
        <v>4609</v>
      </c>
      <c r="B5082" s="1">
        <v>1104485</v>
      </c>
      <c r="C5082" s="1">
        <v>1311</v>
      </c>
      <c r="D5082" s="2">
        <v>42432</v>
      </c>
      <c r="E5082" s="1" t="s">
        <v>18</v>
      </c>
      <c r="F5082" t="str">
        <f>HYPERLINK("http://www.sec.gov/Archives/edgar/data/1104485/0001104485-16-000049-index.html")</f>
        <v>http://www.sec.gov/Archives/edgar/data/1104485/0001104485-16-000049-index.html</v>
      </c>
    </row>
    <row r="5083" spans="1:6" x14ac:dyDescent="0.2">
      <c r="A5083" t="s">
        <v>4610</v>
      </c>
      <c r="B5083" s="1">
        <v>1112920</v>
      </c>
      <c r="C5083" s="1">
        <v>7372</v>
      </c>
      <c r="D5083" s="2">
        <v>42432</v>
      </c>
      <c r="E5083" s="1" t="s">
        <v>18</v>
      </c>
      <c r="F5083" t="str">
        <f>HYPERLINK("http://www.sec.gov/Archives/edgar/data/1112920/0001185185-16-003826-index.html")</f>
        <v>http://www.sec.gov/Archives/edgar/data/1112920/0001185185-16-003826-index.html</v>
      </c>
    </row>
    <row r="5084" spans="1:6" x14ac:dyDescent="0.2">
      <c r="A5084" t="s">
        <v>4611</v>
      </c>
      <c r="B5084" s="1">
        <v>1123979</v>
      </c>
      <c r="C5084" s="1">
        <v>8731</v>
      </c>
      <c r="D5084" s="2">
        <v>42432</v>
      </c>
      <c r="E5084" s="1" t="s">
        <v>18</v>
      </c>
      <c r="F5084" t="str">
        <f>HYPERLINK("http://www.sec.gov/Archives/edgar/data/1123979/0001437749-16-026749-index.html")</f>
        <v>http://www.sec.gov/Archives/edgar/data/1123979/0001437749-16-026749-index.html</v>
      </c>
    </row>
    <row r="5085" spans="1:6" x14ac:dyDescent="0.2">
      <c r="A5085" t="s">
        <v>1551</v>
      </c>
      <c r="B5085" s="1">
        <v>1142701</v>
      </c>
      <c r="C5085" s="1">
        <v>7370</v>
      </c>
      <c r="D5085" s="2">
        <v>42432</v>
      </c>
      <c r="E5085" s="1" t="s">
        <v>18</v>
      </c>
      <c r="F5085" t="str">
        <f>HYPERLINK("http://www.sec.gov/Archives/edgar/data/1142701/0001047469-16-010690-index.html")</f>
        <v>http://www.sec.gov/Archives/edgar/data/1142701/0001047469-16-010690-index.html</v>
      </c>
    </row>
    <row r="5086" spans="1:6" x14ac:dyDescent="0.2">
      <c r="A5086" t="s">
        <v>4612</v>
      </c>
      <c r="B5086" s="1">
        <v>1166928</v>
      </c>
      <c r="C5086" s="1">
        <v>6022</v>
      </c>
      <c r="D5086" s="2">
        <v>42432</v>
      </c>
      <c r="E5086" s="1" t="s">
        <v>18</v>
      </c>
      <c r="F5086" t="str">
        <f>HYPERLINK("http://www.sec.gov/Archives/edgar/data/1166928/0001166928-16-000121-index.html")</f>
        <v>http://www.sec.gov/Archives/edgar/data/1166928/0001166928-16-000121-index.html</v>
      </c>
    </row>
    <row r="5087" spans="1:6" x14ac:dyDescent="0.2">
      <c r="A5087" t="s">
        <v>4613</v>
      </c>
      <c r="B5087" s="1">
        <v>1210708</v>
      </c>
      <c r="C5087" s="1">
        <v>7363</v>
      </c>
      <c r="D5087" s="2">
        <v>42432</v>
      </c>
      <c r="E5087" s="1" t="s">
        <v>18</v>
      </c>
      <c r="F5087" t="str">
        <f>HYPERLINK("http://www.sec.gov/Archives/edgar/data/1210708/0001210708-16-000040-index.html")</f>
        <v>http://www.sec.gov/Archives/edgar/data/1210708/0001210708-16-000040-index.html</v>
      </c>
    </row>
    <row r="5088" spans="1:6" x14ac:dyDescent="0.2">
      <c r="A5088" t="s">
        <v>4614</v>
      </c>
      <c r="B5088" s="1">
        <v>1265572</v>
      </c>
      <c r="C5088" s="1">
        <v>5812</v>
      </c>
      <c r="D5088" s="2">
        <v>42432</v>
      </c>
      <c r="E5088" s="1" t="s">
        <v>18</v>
      </c>
      <c r="F5088" t="str">
        <f>HYPERLINK("http://www.sec.gov/Archives/edgar/data/1265572/0001437749-16-026600-index.html")</f>
        <v>http://www.sec.gov/Archives/edgar/data/1265572/0001437749-16-026600-index.html</v>
      </c>
    </row>
    <row r="5089" spans="1:6" x14ac:dyDescent="0.2">
      <c r="A5089" t="s">
        <v>4615</v>
      </c>
      <c r="B5089" s="1">
        <v>1288847</v>
      </c>
      <c r="C5089" s="1">
        <v>7374</v>
      </c>
      <c r="D5089" s="2">
        <v>42432</v>
      </c>
      <c r="E5089" s="1" t="s">
        <v>18</v>
      </c>
      <c r="F5089" t="str">
        <f>HYPERLINK("http://www.sec.gov/Archives/edgar/data/1288847/0001288847-16-000054-index.html")</f>
        <v>http://www.sec.gov/Archives/edgar/data/1288847/0001288847-16-000054-index.html</v>
      </c>
    </row>
    <row r="5090" spans="1:6" x14ac:dyDescent="0.2">
      <c r="A5090" t="s">
        <v>4616</v>
      </c>
      <c r="B5090" s="1">
        <v>1290149</v>
      </c>
      <c r="C5090" s="1">
        <v>2834</v>
      </c>
      <c r="D5090" s="2">
        <v>42432</v>
      </c>
      <c r="E5090" s="1" t="s">
        <v>18</v>
      </c>
      <c r="F5090" t="str">
        <f>HYPERLINK("http://www.sec.gov/Archives/edgar/data/1290149/0001193125-16-490742-index.html")</f>
        <v>http://www.sec.gov/Archives/edgar/data/1290149/0001193125-16-490742-index.html</v>
      </c>
    </row>
    <row r="5091" spans="1:6" x14ac:dyDescent="0.2">
      <c r="A5091" t="s">
        <v>4617</v>
      </c>
      <c r="B5091" s="1">
        <v>1303313</v>
      </c>
      <c r="C5091" s="1">
        <v>8082</v>
      </c>
      <c r="D5091" s="2">
        <v>42432</v>
      </c>
      <c r="E5091" s="1" t="s">
        <v>18</v>
      </c>
      <c r="F5091" t="str">
        <f>HYPERLINK("http://www.sec.gov/Archives/edgar/data/1303313/0001303313-16-000035-index.html")</f>
        <v>http://www.sec.gov/Archives/edgar/data/1303313/0001303313-16-000035-index.html</v>
      </c>
    </row>
    <row r="5092" spans="1:6" x14ac:dyDescent="0.2">
      <c r="A5092" t="s">
        <v>4618</v>
      </c>
      <c r="B5092" s="1">
        <v>1311596</v>
      </c>
      <c r="C5092" s="1">
        <v>2834</v>
      </c>
      <c r="D5092" s="2">
        <v>42432</v>
      </c>
      <c r="E5092" s="1" t="s">
        <v>18</v>
      </c>
      <c r="F5092" t="str">
        <f>HYPERLINK("http://www.sec.gov/Archives/edgar/data/1311596/0001564590-16-013992-index.html")</f>
        <v>http://www.sec.gov/Archives/edgar/data/1311596/0001564590-16-013992-index.html</v>
      </c>
    </row>
    <row r="5093" spans="1:6" x14ac:dyDescent="0.2">
      <c r="A5093" t="s">
        <v>4619</v>
      </c>
      <c r="B5093" s="1">
        <v>1327978</v>
      </c>
      <c r="C5093" s="1">
        <v>6798</v>
      </c>
      <c r="D5093" s="2">
        <v>42432</v>
      </c>
      <c r="E5093" s="1" t="s">
        <v>18</v>
      </c>
      <c r="F5093" t="str">
        <f>HYPERLINK("http://www.sec.gov/Archives/edgar/data/1327978/0001387131-16-004432-index.html")</f>
        <v>http://www.sec.gov/Archives/edgar/data/1327978/0001387131-16-004432-index.html</v>
      </c>
    </row>
    <row r="5094" spans="1:6" x14ac:dyDescent="0.2">
      <c r="A5094" t="s">
        <v>4620</v>
      </c>
      <c r="B5094" s="1">
        <v>1338474</v>
      </c>
      <c r="C5094" s="1">
        <v>1382</v>
      </c>
      <c r="D5094" s="2">
        <v>42432</v>
      </c>
      <c r="E5094" s="1" t="s">
        <v>18</v>
      </c>
      <c r="F5094" t="str">
        <f>HYPERLINK("http://www.sec.gov/Archives/edgar/data/1338474/0001214659-16-010033-index.html")</f>
        <v>http://www.sec.gov/Archives/edgar/data/1338474/0001214659-16-010033-index.html</v>
      </c>
    </row>
    <row r="5095" spans="1:6" x14ac:dyDescent="0.2">
      <c r="A5095" t="s">
        <v>4621</v>
      </c>
      <c r="B5095" s="1">
        <v>1362925</v>
      </c>
      <c r="C5095" s="1">
        <v>7389</v>
      </c>
      <c r="D5095" s="2">
        <v>42432</v>
      </c>
      <c r="E5095" s="1" t="s">
        <v>18</v>
      </c>
      <c r="F5095" t="str">
        <f>HYPERLINK("http://www.sec.gov/Archives/edgar/data/1362925/0001558370-16-003797-index.html")</f>
        <v>http://www.sec.gov/Archives/edgar/data/1362925/0001558370-16-003797-index.html</v>
      </c>
    </row>
    <row r="5096" spans="1:6" x14ac:dyDescent="0.2">
      <c r="A5096" t="s">
        <v>4622</v>
      </c>
      <c r="B5096" s="1">
        <v>1368265</v>
      </c>
      <c r="C5096" s="1">
        <v>4932</v>
      </c>
      <c r="D5096" s="2">
        <v>42432</v>
      </c>
      <c r="E5096" s="1" t="s">
        <v>18</v>
      </c>
      <c r="F5096" t="str">
        <f>HYPERLINK("http://www.sec.gov/Archives/edgar/data/1368265/0001368265-16-000012-index.html")</f>
        <v>http://www.sec.gov/Archives/edgar/data/1368265/0001368265-16-000012-index.html</v>
      </c>
    </row>
    <row r="5097" spans="1:6" x14ac:dyDescent="0.2">
      <c r="A5097" t="s">
        <v>4623</v>
      </c>
      <c r="B5097" s="1">
        <v>1385662</v>
      </c>
      <c r="C5097" s="1">
        <v>1382</v>
      </c>
      <c r="D5097" s="2">
        <v>42432</v>
      </c>
      <c r="E5097" s="1" t="s">
        <v>18</v>
      </c>
      <c r="F5097" t="str">
        <f>HYPERLINK("http://www.sec.gov/Archives/edgar/data/1385662/0001214659-16-010032-index.html")</f>
        <v>http://www.sec.gov/Archives/edgar/data/1385662/0001214659-16-010032-index.html</v>
      </c>
    </row>
    <row r="5098" spans="1:6" x14ac:dyDescent="0.2">
      <c r="A5098" t="s">
        <v>4624</v>
      </c>
      <c r="B5098" s="1">
        <v>1387713</v>
      </c>
      <c r="C5098" s="1">
        <v>4841</v>
      </c>
      <c r="D5098" s="2">
        <v>42432</v>
      </c>
      <c r="E5098" s="1" t="s">
        <v>18</v>
      </c>
      <c r="F5098" t="str">
        <f>HYPERLINK("http://www.sec.gov/Archives/edgar/data/1387713/0001214659-16-010025-index.html")</f>
        <v>http://www.sec.gov/Archives/edgar/data/1387713/0001214659-16-010025-index.html</v>
      </c>
    </row>
    <row r="5099" spans="1:6" x14ac:dyDescent="0.2">
      <c r="A5099" t="s">
        <v>4625</v>
      </c>
      <c r="B5099" s="1">
        <v>1388430</v>
      </c>
      <c r="C5099" s="1">
        <v>7359</v>
      </c>
      <c r="D5099" s="2">
        <v>42432</v>
      </c>
      <c r="E5099" s="1" t="s">
        <v>18</v>
      </c>
      <c r="F5099" t="str">
        <f>HYPERLINK("http://www.sec.gov/Archives/edgar/data/1388430/0001388430-16-000017-index.html")</f>
        <v>http://www.sec.gov/Archives/edgar/data/1388430/0001388430-16-000017-index.html</v>
      </c>
    </row>
    <row r="5100" spans="1:6" x14ac:dyDescent="0.2">
      <c r="A5100" t="s">
        <v>4626</v>
      </c>
      <c r="B5100" s="1">
        <v>1409775</v>
      </c>
      <c r="C5100" s="1">
        <v>6021</v>
      </c>
      <c r="D5100" s="2">
        <v>42432</v>
      </c>
      <c r="E5100" s="1" t="s">
        <v>18</v>
      </c>
      <c r="F5100" t="str">
        <f>HYPERLINK("http://www.sec.gov/Archives/edgar/data/1409775/0001409775-16-000075-index.html")</f>
        <v>http://www.sec.gov/Archives/edgar/data/1409775/0001409775-16-000075-index.html</v>
      </c>
    </row>
    <row r="5101" spans="1:6" x14ac:dyDescent="0.2">
      <c r="A5101" t="s">
        <v>4627</v>
      </c>
      <c r="B5101" s="1">
        <v>1409947</v>
      </c>
      <c r="C5101" s="1">
        <v>1382</v>
      </c>
      <c r="D5101" s="2">
        <v>42432</v>
      </c>
      <c r="E5101" s="1" t="s">
        <v>18</v>
      </c>
      <c r="F5101" t="str">
        <f>HYPERLINK("http://www.sec.gov/Archives/edgar/data/1409947/0001214659-16-010035-index.html")</f>
        <v>http://www.sec.gov/Archives/edgar/data/1409947/0001214659-16-010035-index.html</v>
      </c>
    </row>
    <row r="5102" spans="1:6" x14ac:dyDescent="0.2">
      <c r="A5102" t="s">
        <v>4628</v>
      </c>
      <c r="B5102" s="1">
        <v>1412665</v>
      </c>
      <c r="C5102" s="1">
        <v>6022</v>
      </c>
      <c r="D5102" s="2">
        <v>42432</v>
      </c>
      <c r="E5102" s="1" t="s">
        <v>18</v>
      </c>
      <c r="F5102" t="str">
        <f>HYPERLINK("http://www.sec.gov/Archives/edgar/data/1412665/0001412665-16-000134-index.html")</f>
        <v>http://www.sec.gov/Archives/edgar/data/1412665/0001412665-16-000134-index.html</v>
      </c>
    </row>
    <row r="5103" spans="1:6" x14ac:dyDescent="0.2">
      <c r="A5103" t="s">
        <v>4629</v>
      </c>
      <c r="B5103" s="1">
        <v>1415301</v>
      </c>
      <c r="C5103" s="1">
        <v>5812</v>
      </c>
      <c r="D5103" s="2">
        <v>42432</v>
      </c>
      <c r="E5103" s="1" t="s">
        <v>18</v>
      </c>
      <c r="F5103" t="str">
        <f>HYPERLINK("http://www.sec.gov/Archives/edgar/data/1415301/0001415301-16-000022-index.html")</f>
        <v>http://www.sec.gov/Archives/edgar/data/1415301/0001415301-16-000022-index.html</v>
      </c>
    </row>
    <row r="5104" spans="1:6" x14ac:dyDescent="0.2">
      <c r="A5104" t="s">
        <v>4630</v>
      </c>
      <c r="B5104" s="1">
        <v>1420811</v>
      </c>
      <c r="C5104" s="1">
        <v>6199</v>
      </c>
      <c r="D5104" s="2">
        <v>42432</v>
      </c>
      <c r="E5104" s="1" t="s">
        <v>18</v>
      </c>
      <c r="F5104" t="str">
        <f>HYPERLINK("http://www.sec.gov/Archives/edgar/data/1420811/0001420811-16-000111-index.html")</f>
        <v>http://www.sec.gov/Archives/edgar/data/1420811/0001420811-16-000111-index.html</v>
      </c>
    </row>
    <row r="5105" spans="1:6" x14ac:dyDescent="0.2">
      <c r="A5105" t="s">
        <v>4631</v>
      </c>
      <c r="B5105" s="1">
        <v>1430306</v>
      </c>
      <c r="C5105" s="1">
        <v>2834</v>
      </c>
      <c r="D5105" s="2">
        <v>42432</v>
      </c>
      <c r="E5105" s="1" t="s">
        <v>18</v>
      </c>
      <c r="F5105" t="str">
        <f>HYPERLINK("http://www.sec.gov/Archives/edgar/data/1430306/0001144204-16-085821-index.html")</f>
        <v>http://www.sec.gov/Archives/edgar/data/1430306/0001144204-16-085821-index.html</v>
      </c>
    </row>
    <row r="5106" spans="1:6" x14ac:dyDescent="0.2">
      <c r="A5106" t="s">
        <v>4632</v>
      </c>
      <c r="B5106" s="1">
        <v>1434316</v>
      </c>
      <c r="C5106" s="1">
        <v>2836</v>
      </c>
      <c r="D5106" s="2">
        <v>42432</v>
      </c>
      <c r="E5106" s="1" t="s">
        <v>18</v>
      </c>
      <c r="F5106" t="str">
        <f>HYPERLINK("http://www.sec.gov/Archives/edgar/data/1434316/0001564590-16-013981-index.html")</f>
        <v>http://www.sec.gov/Archives/edgar/data/1434316/0001564590-16-013981-index.html</v>
      </c>
    </row>
    <row r="5107" spans="1:6" x14ac:dyDescent="0.2">
      <c r="A5107" t="s">
        <v>4633</v>
      </c>
      <c r="B5107" s="1">
        <v>1434524</v>
      </c>
      <c r="C5107" s="1">
        <v>3823</v>
      </c>
      <c r="D5107" s="2">
        <v>42432</v>
      </c>
      <c r="E5107" s="1" t="s">
        <v>18</v>
      </c>
      <c r="F5107" t="str">
        <f>HYPERLINK("http://www.sec.gov/Archives/edgar/data/1434524/0001144204-16-085858-index.html")</f>
        <v>http://www.sec.gov/Archives/edgar/data/1434524/0001144204-16-085858-index.html</v>
      </c>
    </row>
    <row r="5108" spans="1:6" x14ac:dyDescent="0.2">
      <c r="A5108" t="s">
        <v>4634</v>
      </c>
      <c r="B5108" s="1">
        <v>1455206</v>
      </c>
      <c r="C5108" s="1">
        <v>7310</v>
      </c>
      <c r="D5108" s="2">
        <v>42432</v>
      </c>
      <c r="E5108" s="1" t="s">
        <v>18</v>
      </c>
      <c r="F5108" t="str">
        <f>HYPERLINK("http://www.sec.gov/Archives/edgar/data/1455206/0001078782-16-002391-index.html")</f>
        <v>http://www.sec.gov/Archives/edgar/data/1455206/0001078782-16-002391-index.html</v>
      </c>
    </row>
    <row r="5109" spans="1:6" x14ac:dyDescent="0.2">
      <c r="A5109" t="s">
        <v>4635</v>
      </c>
      <c r="B5109" s="1">
        <v>1466815</v>
      </c>
      <c r="C5109" s="1">
        <v>2741</v>
      </c>
      <c r="D5109" s="2">
        <v>42432</v>
      </c>
      <c r="E5109" s="1" t="s">
        <v>18</v>
      </c>
      <c r="F5109" t="str">
        <f>HYPERLINK("http://www.sec.gov/Archives/edgar/data/1466815/0001564590-16-013921-index.html")</f>
        <v>http://www.sec.gov/Archives/edgar/data/1466815/0001564590-16-013921-index.html</v>
      </c>
    </row>
    <row r="5110" spans="1:6" x14ac:dyDescent="0.2">
      <c r="A5110" t="s">
        <v>4636</v>
      </c>
      <c r="B5110" s="1">
        <v>1476204</v>
      </c>
      <c r="C5110" s="1">
        <v>6798</v>
      </c>
      <c r="D5110" s="2">
        <v>42432</v>
      </c>
      <c r="E5110" s="1" t="s">
        <v>18</v>
      </c>
      <c r="F5110" t="str">
        <f>HYPERLINK("http://www.sec.gov/Archives/edgar/data/1476204/0001476204-16-000050-index.html")</f>
        <v>http://www.sec.gov/Archives/edgar/data/1476204/0001476204-16-000050-index.html</v>
      </c>
    </row>
    <row r="5111" spans="1:6" x14ac:dyDescent="0.2">
      <c r="A5111" t="s">
        <v>4637</v>
      </c>
      <c r="B5111" s="1">
        <v>1477449</v>
      </c>
      <c r="C5111" s="1">
        <v>8011</v>
      </c>
      <c r="D5111" s="2">
        <v>42432</v>
      </c>
      <c r="E5111" s="1" t="s">
        <v>18</v>
      </c>
      <c r="F5111" t="str">
        <f>HYPERLINK("http://www.sec.gov/Archives/edgar/data/1477449/0001558370-16-003803-index.html")</f>
        <v>http://www.sec.gov/Archives/edgar/data/1477449/0001558370-16-003803-index.html</v>
      </c>
    </row>
    <row r="5112" spans="1:6" x14ac:dyDescent="0.2">
      <c r="A5112" t="s">
        <v>4638</v>
      </c>
      <c r="B5112" s="1">
        <v>1494319</v>
      </c>
      <c r="C5112" s="1">
        <v>5160</v>
      </c>
      <c r="D5112" s="2">
        <v>42432</v>
      </c>
      <c r="E5112" s="1" t="s">
        <v>18</v>
      </c>
      <c r="F5112" t="str">
        <f>HYPERLINK("http://www.sec.gov/Archives/edgar/data/1494319/0001193125-16-490989-index.html")</f>
        <v>http://www.sec.gov/Archives/edgar/data/1494319/0001193125-16-490989-index.html</v>
      </c>
    </row>
    <row r="5113" spans="1:6" x14ac:dyDescent="0.2">
      <c r="A5113" t="s">
        <v>4639</v>
      </c>
      <c r="B5113" s="1">
        <v>1506401</v>
      </c>
      <c r="C5113" s="1">
        <v>6798</v>
      </c>
      <c r="D5113" s="2">
        <v>42432</v>
      </c>
      <c r="E5113" s="1" t="s">
        <v>18</v>
      </c>
      <c r="F5113" t="str">
        <f>HYPERLINK("http://www.sec.gov/Archives/edgar/data/1506401/0001564590-16-013933-index.html")</f>
        <v>http://www.sec.gov/Archives/edgar/data/1506401/0001564590-16-013933-index.html</v>
      </c>
    </row>
    <row r="5114" spans="1:6" x14ac:dyDescent="0.2">
      <c r="A5114" t="s">
        <v>4640</v>
      </c>
      <c r="B5114" s="1">
        <v>1513363</v>
      </c>
      <c r="C5114" s="1">
        <v>2836</v>
      </c>
      <c r="D5114" s="2">
        <v>42432</v>
      </c>
      <c r="E5114" s="1" t="s">
        <v>18</v>
      </c>
      <c r="F5114" t="str">
        <f>HYPERLINK("http://www.sec.gov/Archives/edgar/data/1513363/0001193125-16-491683-index.html")</f>
        <v>http://www.sec.gov/Archives/edgar/data/1513363/0001193125-16-491683-index.html</v>
      </c>
    </row>
    <row r="5115" spans="1:6" x14ac:dyDescent="0.2">
      <c r="A5115" t="s">
        <v>4641</v>
      </c>
      <c r="B5115" s="1">
        <v>1526119</v>
      </c>
      <c r="C5115" s="1">
        <v>2834</v>
      </c>
      <c r="D5115" s="2">
        <v>42432</v>
      </c>
      <c r="E5115" s="1" t="s">
        <v>18</v>
      </c>
      <c r="F5115" t="str">
        <f>HYPERLINK("http://www.sec.gov/Archives/edgar/data/1526119/0001558370-16-003821-index.html")</f>
        <v>http://www.sec.gov/Archives/edgar/data/1526119/0001558370-16-003821-index.html</v>
      </c>
    </row>
    <row r="5116" spans="1:6" x14ac:dyDescent="0.2">
      <c r="A5116" t="s">
        <v>4642</v>
      </c>
      <c r="B5116" s="1">
        <v>1526796</v>
      </c>
      <c r="C5116" s="1">
        <v>5812</v>
      </c>
      <c r="D5116" s="2">
        <v>42432</v>
      </c>
      <c r="E5116" s="1" t="s">
        <v>18</v>
      </c>
      <c r="F5116" t="str">
        <f>HYPERLINK("http://www.sec.gov/Archives/edgar/data/1526796/0001437749-16-026709-index.html")</f>
        <v>http://www.sec.gov/Archives/edgar/data/1526796/0001437749-16-026709-index.html</v>
      </c>
    </row>
    <row r="5117" spans="1:6" x14ac:dyDescent="0.2">
      <c r="A5117" t="s">
        <v>4643</v>
      </c>
      <c r="B5117" s="1">
        <v>1528760</v>
      </c>
      <c r="C5117" s="1">
        <v>3570</v>
      </c>
      <c r="D5117" s="2">
        <v>42432</v>
      </c>
      <c r="E5117" s="1" t="s">
        <v>18</v>
      </c>
      <c r="F5117" t="str">
        <f>HYPERLINK("http://www.sec.gov/Archives/edgar/data/1528760/0001199835-16-000645-index.html")</f>
        <v>http://www.sec.gov/Archives/edgar/data/1528760/0001199835-16-000645-index.html</v>
      </c>
    </row>
    <row r="5118" spans="1:6" x14ac:dyDescent="0.2">
      <c r="A5118" t="s">
        <v>4644</v>
      </c>
      <c r="B5118" s="1">
        <v>1551901</v>
      </c>
      <c r="C5118" s="1">
        <v>3569</v>
      </c>
      <c r="D5118" s="2">
        <v>42432</v>
      </c>
      <c r="E5118" s="1" t="s">
        <v>18</v>
      </c>
      <c r="F5118" t="str">
        <f>HYPERLINK("http://www.sec.gov/Archives/edgar/data/1551901/0001144204-16-085829-index.html")</f>
        <v>http://www.sec.gov/Archives/edgar/data/1551901/0001144204-16-085829-index.html</v>
      </c>
    </row>
    <row r="5119" spans="1:6" x14ac:dyDescent="0.2">
      <c r="A5119" t="s">
        <v>4645</v>
      </c>
      <c r="B5119" s="1">
        <v>1552890</v>
      </c>
      <c r="C5119" s="1">
        <v>6798</v>
      </c>
      <c r="D5119" s="2">
        <v>42432</v>
      </c>
      <c r="E5119" s="1" t="s">
        <v>18</v>
      </c>
      <c r="F5119" t="str">
        <f>HYPERLINK("http://www.sec.gov/Archives/edgar/data/1552890/0001552890-16-000139-index.html")</f>
        <v>http://www.sec.gov/Archives/edgar/data/1552890/0001552890-16-000139-index.html</v>
      </c>
    </row>
    <row r="5120" spans="1:6" x14ac:dyDescent="0.2">
      <c r="A5120" t="s">
        <v>4646</v>
      </c>
      <c r="B5120" s="1">
        <v>1581405</v>
      </c>
      <c r="C5120" s="1">
        <v>6798</v>
      </c>
      <c r="D5120" s="2">
        <v>42432</v>
      </c>
      <c r="E5120" s="1" t="s">
        <v>18</v>
      </c>
      <c r="F5120" t="str">
        <f>HYPERLINK("http://www.sec.gov/Archives/edgar/data/1581405/0001581405-16-000072-index.html")</f>
        <v>http://www.sec.gov/Archives/edgar/data/1581405/0001581405-16-000072-index.html</v>
      </c>
    </row>
    <row r="5121" spans="1:6" x14ac:dyDescent="0.2">
      <c r="A5121" t="s">
        <v>4647</v>
      </c>
      <c r="B5121" s="1">
        <v>1590877</v>
      </c>
      <c r="C5121" s="1">
        <v>2836</v>
      </c>
      <c r="D5121" s="2">
        <v>42432</v>
      </c>
      <c r="E5121" s="1" t="s">
        <v>18</v>
      </c>
      <c r="F5121" t="str">
        <f>HYPERLINK("http://www.sec.gov/Archives/edgar/data/1590877/0001564590-16-013941-index.html")</f>
        <v>http://www.sec.gov/Archives/edgar/data/1590877/0001564590-16-013941-index.html</v>
      </c>
    </row>
    <row r="5122" spans="1:6" x14ac:dyDescent="0.2">
      <c r="A5122" t="s">
        <v>2024</v>
      </c>
      <c r="B5122" s="1">
        <v>1609711</v>
      </c>
      <c r="C5122" s="1">
        <v>7373</v>
      </c>
      <c r="D5122" s="2">
        <v>42432</v>
      </c>
      <c r="E5122" s="1" t="s">
        <v>18</v>
      </c>
      <c r="F5122" t="str">
        <f>HYPERLINK("http://www.sec.gov/Archives/edgar/data/1609711/0001609711-16-000048-index.html")</f>
        <v>http://www.sec.gov/Archives/edgar/data/1609711/0001609711-16-000048-index.html</v>
      </c>
    </row>
    <row r="5123" spans="1:6" x14ac:dyDescent="0.2">
      <c r="A5123" t="s">
        <v>4648</v>
      </c>
      <c r="B5123" s="1">
        <v>1616093</v>
      </c>
      <c r="C5123" s="1">
        <v>6798</v>
      </c>
      <c r="D5123" s="2">
        <v>42432</v>
      </c>
      <c r="E5123" s="1" t="s">
        <v>18</v>
      </c>
      <c r="F5123" t="str">
        <f>HYPERLINK("http://www.sec.gov/Archives/edgar/data/1616093/0001616093-16-000036-index.html")</f>
        <v>http://www.sec.gov/Archives/edgar/data/1616093/0001616093-16-000036-index.html</v>
      </c>
    </row>
    <row r="5124" spans="1:6" x14ac:dyDescent="0.2">
      <c r="A5124" t="s">
        <v>4649</v>
      </c>
      <c r="B5124" s="1">
        <v>1617977</v>
      </c>
      <c r="C5124" s="1">
        <v>5812</v>
      </c>
      <c r="D5124" s="2">
        <v>42432</v>
      </c>
      <c r="E5124" s="1" t="s">
        <v>18</v>
      </c>
      <c r="F5124" t="str">
        <f>HYPERLINK("http://www.sec.gov/Archives/edgar/data/1617977/0001564590-16-013975-index.html")</f>
        <v>http://www.sec.gov/Archives/edgar/data/1617977/0001564590-16-013975-index.html</v>
      </c>
    </row>
    <row r="5125" spans="1:6" x14ac:dyDescent="0.2">
      <c r="A5125" t="s">
        <v>4650</v>
      </c>
      <c r="B5125" s="1">
        <v>1620546</v>
      </c>
      <c r="C5125" s="1">
        <v>2834</v>
      </c>
      <c r="D5125" s="2">
        <v>42432</v>
      </c>
      <c r="E5125" s="1" t="s">
        <v>18</v>
      </c>
      <c r="F5125" t="str">
        <f>HYPERLINK("http://www.sec.gov/Archives/edgar/data/1620546/0001193125-16-491806-index.html")</f>
        <v>http://www.sec.gov/Archives/edgar/data/1620546/0001193125-16-491806-index.html</v>
      </c>
    </row>
    <row r="5126" spans="1:6" x14ac:dyDescent="0.2">
      <c r="A5126" t="s">
        <v>4651</v>
      </c>
      <c r="B5126" s="1">
        <v>1631650</v>
      </c>
      <c r="C5126" s="1">
        <v>2834</v>
      </c>
      <c r="D5126" s="2">
        <v>42432</v>
      </c>
      <c r="E5126" s="1" t="s">
        <v>18</v>
      </c>
      <c r="F5126" t="str">
        <f>HYPERLINK("http://www.sec.gov/Archives/edgar/data/1631650/0001564590-16-013998-index.html")</f>
        <v>http://www.sec.gov/Archives/edgar/data/1631650/0001564590-16-013998-index.html</v>
      </c>
    </row>
    <row r="5127" spans="1:6" x14ac:dyDescent="0.2">
      <c r="A5127" t="s">
        <v>4652</v>
      </c>
      <c r="B5127" s="1">
        <v>1633931</v>
      </c>
      <c r="C5127" s="1">
        <v>1700</v>
      </c>
      <c r="D5127" s="2">
        <v>42432</v>
      </c>
      <c r="E5127" s="1" t="s">
        <v>18</v>
      </c>
      <c r="F5127" t="str">
        <f>HYPERLINK("http://www.sec.gov/Archives/edgar/data/1633931/0001558370-16-003817-index.html")</f>
        <v>http://www.sec.gov/Archives/edgar/data/1633931/0001558370-16-003817-index.html</v>
      </c>
    </row>
    <row r="5128" spans="1:6" x14ac:dyDescent="0.2">
      <c r="A5128" t="s">
        <v>4653</v>
      </c>
      <c r="B5128" s="1">
        <v>1637459</v>
      </c>
      <c r="C5128" s="1">
        <v>2030</v>
      </c>
      <c r="D5128" s="2">
        <v>42432</v>
      </c>
      <c r="E5128" s="1" t="s">
        <v>18</v>
      </c>
      <c r="F5128" t="str">
        <f>HYPERLINK("http://www.sec.gov/Archives/edgar/data/1637459/0001637459-16-000100-index.html")</f>
        <v>http://www.sec.gov/Archives/edgar/data/1637459/0001637459-16-000100-index.html</v>
      </c>
    </row>
    <row r="5129" spans="1:6" x14ac:dyDescent="0.2">
      <c r="A5129" t="s">
        <v>4654</v>
      </c>
      <c r="B5129" s="1">
        <v>18396</v>
      </c>
      <c r="C5129" s="1">
        <v>7363</v>
      </c>
      <c r="D5129" s="2">
        <v>42432</v>
      </c>
      <c r="E5129" s="1" t="s">
        <v>18</v>
      </c>
      <c r="F5129" t="str">
        <f>HYPERLINK("http://www.sec.gov/Archives/edgar/data/18396/0000018396-16-000133-index.html")</f>
        <v>http://www.sec.gov/Archives/edgar/data/18396/0000018396-16-000133-index.html</v>
      </c>
    </row>
    <row r="5130" spans="1:6" x14ac:dyDescent="0.2">
      <c r="A5130" t="s">
        <v>4655</v>
      </c>
      <c r="B5130" s="1">
        <v>215419</v>
      </c>
      <c r="C5130" s="1">
        <v>3669</v>
      </c>
      <c r="D5130" s="2">
        <v>42432</v>
      </c>
      <c r="E5130" s="1" t="s">
        <v>18</v>
      </c>
      <c r="F5130" t="str">
        <f>HYPERLINK("http://www.sec.gov/Archives/edgar/data/215419/0000215419-16-000143-index.html")</f>
        <v>http://www.sec.gov/Archives/edgar/data/215419/0000215419-16-000143-index.html</v>
      </c>
    </row>
    <row r="5131" spans="1:6" x14ac:dyDescent="0.2">
      <c r="A5131" t="s">
        <v>4656</v>
      </c>
      <c r="B5131" s="1">
        <v>278041</v>
      </c>
      <c r="C5131" s="1">
        <v>4412</v>
      </c>
      <c r="D5131" s="2">
        <v>42432</v>
      </c>
      <c r="E5131" s="1" t="s">
        <v>18</v>
      </c>
      <c r="F5131" t="str">
        <f>HYPERLINK("http://www.sec.gov/Archives/edgar/data/278041/0000278041-16-000093-index.html")</f>
        <v>http://www.sec.gov/Archives/edgar/data/278041/0000278041-16-000093-index.html</v>
      </c>
    </row>
    <row r="5132" spans="1:6" x14ac:dyDescent="0.2">
      <c r="A5132" t="s">
        <v>4657</v>
      </c>
      <c r="B5132" s="1">
        <v>30697</v>
      </c>
      <c r="C5132" s="1">
        <v>5810</v>
      </c>
      <c r="D5132" s="2">
        <v>42432</v>
      </c>
      <c r="E5132" s="1" t="s">
        <v>18</v>
      </c>
      <c r="F5132" t="str">
        <f>HYPERLINK("http://www.sec.gov/Archives/edgar/data/30697/0000030697-16-000011-index.html")</f>
        <v>http://www.sec.gov/Archives/edgar/data/30697/0000030697-16-000011-index.html</v>
      </c>
    </row>
    <row r="5133" spans="1:6" x14ac:dyDescent="0.2">
      <c r="A5133" t="s">
        <v>4658</v>
      </c>
      <c r="B5133" s="1">
        <v>700923</v>
      </c>
      <c r="C5133" s="1">
        <v>1623</v>
      </c>
      <c r="D5133" s="2">
        <v>42432</v>
      </c>
      <c r="E5133" s="1" t="s">
        <v>18</v>
      </c>
      <c r="F5133" t="str">
        <f>HYPERLINK("http://www.sec.gov/Archives/edgar/data/700923/0001144204-16-085692-index.html")</f>
        <v>http://www.sec.gov/Archives/edgar/data/700923/0001144204-16-085692-index.html</v>
      </c>
    </row>
    <row r="5134" spans="1:6" x14ac:dyDescent="0.2">
      <c r="A5134" t="s">
        <v>4659</v>
      </c>
      <c r="B5134" s="1">
        <v>721994</v>
      </c>
      <c r="C5134" s="1">
        <v>6022</v>
      </c>
      <c r="D5134" s="2">
        <v>42432</v>
      </c>
      <c r="E5134" s="1" t="s">
        <v>18</v>
      </c>
      <c r="F5134" t="str">
        <f>HYPERLINK("http://www.sec.gov/Archives/edgar/data/721994/0000721994-16-000054-index.html")</f>
        <v>http://www.sec.gov/Archives/edgar/data/721994/0000721994-16-000054-index.html</v>
      </c>
    </row>
    <row r="5135" spans="1:6" x14ac:dyDescent="0.2">
      <c r="A5135" t="s">
        <v>4660</v>
      </c>
      <c r="B5135" s="1">
        <v>742112</v>
      </c>
      <c r="C5135" s="1">
        <v>3842</v>
      </c>
      <c r="D5135" s="2">
        <v>42432</v>
      </c>
      <c r="E5135" s="1" t="s">
        <v>18</v>
      </c>
      <c r="F5135" t="str">
        <f>HYPERLINK("http://www.sec.gov/Archives/edgar/data/742112/0000742112-16-000102-index.html")</f>
        <v>http://www.sec.gov/Archives/edgar/data/742112/0000742112-16-000102-index.html</v>
      </c>
    </row>
    <row r="5136" spans="1:6" x14ac:dyDescent="0.2">
      <c r="A5136" t="s">
        <v>4661</v>
      </c>
      <c r="B5136" s="1">
        <v>745308</v>
      </c>
      <c r="C5136" s="1">
        <v>6552</v>
      </c>
      <c r="D5136" s="2">
        <v>42432</v>
      </c>
      <c r="E5136" s="1" t="s">
        <v>18</v>
      </c>
      <c r="F5136" t="str">
        <f>HYPERLINK("http://www.sec.gov/Archives/edgar/data/745308/0000745308-16-000033-index.html")</f>
        <v>http://www.sec.gov/Archives/edgar/data/745308/0000745308-16-000033-index.html</v>
      </c>
    </row>
    <row r="5137" spans="1:6" x14ac:dyDescent="0.2">
      <c r="A5137" t="s">
        <v>4662</v>
      </c>
      <c r="B5137" s="1">
        <v>753772</v>
      </c>
      <c r="C5137" s="1">
        <v>5122</v>
      </c>
      <c r="D5137" s="2">
        <v>42432</v>
      </c>
      <c r="E5137" s="1" t="s">
        <v>18</v>
      </c>
      <c r="F5137" t="str">
        <f>HYPERLINK("http://www.sec.gov/Archives/edgar/data/753772/0001185185-16-003817-index.html")</f>
        <v>http://www.sec.gov/Archives/edgar/data/753772/0001185185-16-003817-index.html</v>
      </c>
    </row>
    <row r="5138" spans="1:6" x14ac:dyDescent="0.2">
      <c r="A5138" t="s">
        <v>4663</v>
      </c>
      <c r="B5138" s="1">
        <v>75679</v>
      </c>
      <c r="C5138" s="1">
        <v>4813</v>
      </c>
      <c r="D5138" s="2">
        <v>42432</v>
      </c>
      <c r="E5138" s="1" t="s">
        <v>18</v>
      </c>
      <c r="F5138" t="str">
        <f>HYPERLINK("http://www.sec.gov/Archives/edgar/data/75679/0000075679-16-000029-index.html")</f>
        <v>http://www.sec.gov/Archives/edgar/data/75679/0000075679-16-000029-index.html</v>
      </c>
    </row>
    <row r="5139" spans="1:6" x14ac:dyDescent="0.2">
      <c r="A5139" t="s">
        <v>4664</v>
      </c>
      <c r="B5139" s="1">
        <v>808461</v>
      </c>
      <c r="C5139" s="1">
        <v>4813</v>
      </c>
      <c r="D5139" s="2">
        <v>42432</v>
      </c>
      <c r="E5139" s="1" t="s">
        <v>18</v>
      </c>
      <c r="F5139" t="str">
        <f>HYPERLINK("http://www.sec.gov/Archives/edgar/data/808461/0000808461-16-000192-index.html")</f>
        <v>http://www.sec.gov/Archives/edgar/data/808461/0000808461-16-000192-index.html</v>
      </c>
    </row>
    <row r="5140" spans="1:6" x14ac:dyDescent="0.2">
      <c r="A5140" t="s">
        <v>954</v>
      </c>
      <c r="B5140" s="1">
        <v>821483</v>
      </c>
      <c r="C5140" s="1">
        <v>1311</v>
      </c>
      <c r="D5140" s="2">
        <v>42432</v>
      </c>
      <c r="E5140" s="1" t="s">
        <v>18</v>
      </c>
      <c r="F5140" t="str">
        <f>HYPERLINK("http://www.sec.gov/Archives/edgar/data/821483/0000821483-16-000040-index.html")</f>
        <v>http://www.sec.gov/Archives/edgar/data/821483/0000821483-16-000040-index.html</v>
      </c>
    </row>
    <row r="5141" spans="1:6" x14ac:dyDescent="0.2">
      <c r="A5141" t="s">
        <v>4665</v>
      </c>
      <c r="B5141" s="1">
        <v>842518</v>
      </c>
      <c r="C5141" s="1">
        <v>6021</v>
      </c>
      <c r="D5141" s="2">
        <v>42432</v>
      </c>
      <c r="E5141" s="1" t="s">
        <v>18</v>
      </c>
      <c r="F5141" t="str">
        <f>HYPERLINK("http://www.sec.gov/Archives/edgar/data/842518/0000842518-16-000092-index.html")</f>
        <v>http://www.sec.gov/Archives/edgar/data/842518/0000842518-16-000092-index.html</v>
      </c>
    </row>
    <row r="5142" spans="1:6" x14ac:dyDescent="0.2">
      <c r="A5142" t="s">
        <v>4666</v>
      </c>
      <c r="B5142" s="1">
        <v>843006</v>
      </c>
      <c r="C5142" s="1">
        <v>2750</v>
      </c>
      <c r="D5142" s="2">
        <v>42432</v>
      </c>
      <c r="E5142" s="1" t="s">
        <v>18</v>
      </c>
      <c r="F5142" t="str">
        <f>HYPERLINK("http://www.sec.gov/Archives/edgar/data/843006/0001654954-16-000153-index.html")</f>
        <v>http://www.sec.gov/Archives/edgar/data/843006/0001654954-16-000153-index.html</v>
      </c>
    </row>
    <row r="5143" spans="1:6" x14ac:dyDescent="0.2">
      <c r="A5143" t="s">
        <v>4667</v>
      </c>
      <c r="B5143" s="1">
        <v>854560</v>
      </c>
      <c r="C5143" s="1">
        <v>6022</v>
      </c>
      <c r="D5143" s="2">
        <v>42432</v>
      </c>
      <c r="E5143" s="1" t="s">
        <v>18</v>
      </c>
      <c r="F5143" t="str">
        <f>HYPERLINK("http://www.sec.gov/Archives/edgar/data/854560/0000927089-16-000767-index.html")</f>
        <v>http://www.sec.gov/Archives/edgar/data/854560/0000927089-16-000767-index.html</v>
      </c>
    </row>
    <row r="5144" spans="1:6" x14ac:dyDescent="0.2">
      <c r="A5144" t="s">
        <v>4668</v>
      </c>
      <c r="B5144" s="1">
        <v>876378</v>
      </c>
      <c r="C5144" s="1">
        <v>3841</v>
      </c>
      <c r="D5144" s="2">
        <v>42432</v>
      </c>
      <c r="E5144" s="1" t="s">
        <v>18</v>
      </c>
      <c r="F5144" t="str">
        <f>HYPERLINK("http://www.sec.gov/Archives/edgar/data/876378/0001193125-16-491817-index.html")</f>
        <v>http://www.sec.gov/Archives/edgar/data/876378/0001193125-16-491817-index.html</v>
      </c>
    </row>
    <row r="5145" spans="1:6" x14ac:dyDescent="0.2">
      <c r="A5145" t="s">
        <v>4669</v>
      </c>
      <c r="B5145" s="1">
        <v>884269</v>
      </c>
      <c r="C5145" s="1">
        <v>3842</v>
      </c>
      <c r="D5145" s="2">
        <v>42432</v>
      </c>
      <c r="E5145" s="1" t="s">
        <v>18</v>
      </c>
      <c r="F5145" t="str">
        <f>HYPERLINK("http://www.sec.gov/Archives/edgar/data/884269/0001437749-16-026648-index.html")</f>
        <v>http://www.sec.gov/Archives/edgar/data/884269/0001437749-16-026648-index.html</v>
      </c>
    </row>
    <row r="5146" spans="1:6" x14ac:dyDescent="0.2">
      <c r="A5146" t="s">
        <v>4670</v>
      </c>
      <c r="B5146" s="1">
        <v>895456</v>
      </c>
      <c r="C5146" s="1">
        <v>3140</v>
      </c>
      <c r="D5146" s="2">
        <v>42432</v>
      </c>
      <c r="E5146" s="1" t="s">
        <v>18</v>
      </c>
      <c r="F5146" t="str">
        <f>HYPERLINK("http://www.sec.gov/Archives/edgar/data/895456/0001144204-16-085772-index.html")</f>
        <v>http://www.sec.gov/Archives/edgar/data/895456/0001144204-16-085772-index.html</v>
      </c>
    </row>
    <row r="5147" spans="1:6" x14ac:dyDescent="0.2">
      <c r="A5147" t="s">
        <v>4671</v>
      </c>
      <c r="B5147" s="1">
        <v>913165</v>
      </c>
      <c r="C5147" s="1">
        <v>3842</v>
      </c>
      <c r="D5147" s="2">
        <v>42432</v>
      </c>
      <c r="E5147" s="1" t="s">
        <v>18</v>
      </c>
      <c r="F5147" t="str">
        <f>HYPERLINK("http://www.sec.gov/Archives/edgar/data/913165/0001564590-16-014007-index.html")</f>
        <v>http://www.sec.gov/Archives/edgar/data/913165/0001564590-16-014007-index.html</v>
      </c>
    </row>
    <row r="5148" spans="1:6" x14ac:dyDescent="0.2">
      <c r="A5148" t="s">
        <v>4672</v>
      </c>
      <c r="B5148" s="1">
        <v>919956</v>
      </c>
      <c r="C5148" s="1">
        <v>8051</v>
      </c>
      <c r="D5148" s="2">
        <v>42432</v>
      </c>
      <c r="E5148" s="1" t="s">
        <v>18</v>
      </c>
      <c r="F5148" t="str">
        <f>HYPERLINK("http://www.sec.gov/Archives/edgar/data/919956/0001628280-16-012237-index.html")</f>
        <v>http://www.sec.gov/Archives/edgar/data/919956/0001628280-16-012237-index.html</v>
      </c>
    </row>
    <row r="5149" spans="1:6" x14ac:dyDescent="0.2">
      <c r="A5149" t="s">
        <v>4673</v>
      </c>
      <c r="B5149" s="1">
        <v>933738</v>
      </c>
      <c r="C5149" s="1">
        <v>8711</v>
      </c>
      <c r="D5149" s="2">
        <v>42432</v>
      </c>
      <c r="E5149" s="1" t="s">
        <v>18</v>
      </c>
      <c r="F5149" t="str">
        <f>HYPERLINK("http://www.sec.gov/Archives/edgar/data/933738/0001185185-16-003829-index.html")</f>
        <v>http://www.sec.gov/Archives/edgar/data/933738/0001185185-16-003829-index.html</v>
      </c>
    </row>
    <row r="5150" spans="1:6" x14ac:dyDescent="0.2">
      <c r="A5150" t="s">
        <v>4674</v>
      </c>
      <c r="B5150" s="1">
        <v>103379</v>
      </c>
      <c r="C5150" s="1">
        <v>2320</v>
      </c>
      <c r="D5150" s="2">
        <v>42431</v>
      </c>
      <c r="E5150" s="1" t="s">
        <v>18</v>
      </c>
      <c r="F5150" t="str">
        <f>HYPERLINK("http://www.sec.gov/Archives/edgar/data/103379/0001193125-16-489832-index.html")</f>
        <v>http://www.sec.gov/Archives/edgar/data/103379/0001193125-16-489832-index.html</v>
      </c>
    </row>
    <row r="5151" spans="1:6" x14ac:dyDescent="0.2">
      <c r="A5151" t="s">
        <v>4675</v>
      </c>
      <c r="B5151" s="1">
        <v>1049782</v>
      </c>
      <c r="C5151" s="1">
        <v>6035</v>
      </c>
      <c r="D5151" s="2">
        <v>42431</v>
      </c>
      <c r="E5151" s="1" t="s">
        <v>42</v>
      </c>
      <c r="F5151" t="str">
        <f>HYPERLINK("http://www.sec.gov/Archives/edgar/data/1049782/0001049782-16-000012-index.html")</f>
        <v>http://www.sec.gov/Archives/edgar/data/1049782/0001049782-16-000012-index.html</v>
      </c>
    </row>
    <row r="5152" spans="1:6" x14ac:dyDescent="0.2">
      <c r="A5152" t="s">
        <v>4676</v>
      </c>
      <c r="B5152" s="1">
        <v>105319</v>
      </c>
      <c r="C5152" s="1">
        <v>7200</v>
      </c>
      <c r="D5152" s="2">
        <v>42431</v>
      </c>
      <c r="E5152" s="1" t="s">
        <v>18</v>
      </c>
      <c r="F5152" t="str">
        <f>HYPERLINK("http://www.sec.gov/Archives/edgar/data/105319/0001193125-16-490208-index.html")</f>
        <v>http://www.sec.gov/Archives/edgar/data/105319/0001193125-16-490208-index.html</v>
      </c>
    </row>
    <row r="5153" spans="1:6" x14ac:dyDescent="0.2">
      <c r="A5153" t="s">
        <v>4677</v>
      </c>
      <c r="B5153" s="1">
        <v>1062613</v>
      </c>
      <c r="C5153" s="1">
        <v>4813</v>
      </c>
      <c r="D5153" s="2">
        <v>42431</v>
      </c>
      <c r="E5153" s="1" t="s">
        <v>18</v>
      </c>
      <c r="F5153" t="str">
        <f>HYPERLINK("http://www.sec.gov/Archives/edgar/data/1062613/0001062613-16-000136-index.html")</f>
        <v>http://www.sec.gov/Archives/edgar/data/1062613/0001062613-16-000136-index.html</v>
      </c>
    </row>
    <row r="5154" spans="1:6" x14ac:dyDescent="0.2">
      <c r="A5154" t="s">
        <v>4678</v>
      </c>
      <c r="B5154" s="1">
        <v>1076930</v>
      </c>
      <c r="C5154" s="1">
        <v>3690</v>
      </c>
      <c r="D5154" s="2">
        <v>42431</v>
      </c>
      <c r="E5154" s="1" t="s">
        <v>18</v>
      </c>
      <c r="F5154" t="str">
        <f>HYPERLINK("http://www.sec.gov/Archives/edgar/data/1076930/0001564590-16-013893-index.html")</f>
        <v>http://www.sec.gov/Archives/edgar/data/1076930/0001564590-16-013893-index.html</v>
      </c>
    </row>
    <row r="5155" spans="1:6" x14ac:dyDescent="0.2">
      <c r="A5155" t="s">
        <v>3093</v>
      </c>
      <c r="B5155" s="1">
        <v>1081078</v>
      </c>
      <c r="C5155" s="1">
        <v>3674</v>
      </c>
      <c r="D5155" s="2">
        <v>42431</v>
      </c>
      <c r="E5155" s="1" t="s">
        <v>18</v>
      </c>
      <c r="F5155" t="str">
        <f>HYPERLINK("http://www.sec.gov/Archives/edgar/data/1081078/0001193125-16-490221-index.html")</f>
        <v>http://www.sec.gov/Archives/edgar/data/1081078/0001193125-16-490221-index.html</v>
      </c>
    </row>
    <row r="5156" spans="1:6" x14ac:dyDescent="0.2">
      <c r="A5156" t="s">
        <v>4679</v>
      </c>
      <c r="B5156" s="1">
        <v>1083301</v>
      </c>
      <c r="C5156" s="1">
        <v>3861</v>
      </c>
      <c r="D5156" s="2">
        <v>42431</v>
      </c>
      <c r="E5156" s="1" t="s">
        <v>18</v>
      </c>
      <c r="F5156" t="str">
        <f>HYPERLINK("http://www.sec.gov/Archives/edgar/data/1083301/0001558370-16-003779-index.html")</f>
        <v>http://www.sec.gov/Archives/edgar/data/1083301/0001558370-16-003779-index.html</v>
      </c>
    </row>
    <row r="5157" spans="1:6" x14ac:dyDescent="0.2">
      <c r="A5157" t="s">
        <v>4680</v>
      </c>
      <c r="B5157" s="1">
        <v>1090009</v>
      </c>
      <c r="C5157" s="1">
        <v>6021</v>
      </c>
      <c r="D5157" s="2">
        <v>42431</v>
      </c>
      <c r="E5157" s="1" t="s">
        <v>18</v>
      </c>
      <c r="F5157" t="str">
        <f>HYPERLINK("http://www.sec.gov/Archives/edgar/data/1090009/0001206774-16-004757-index.html")</f>
        <v>http://www.sec.gov/Archives/edgar/data/1090009/0001206774-16-004757-index.html</v>
      </c>
    </row>
    <row r="5158" spans="1:6" x14ac:dyDescent="0.2">
      <c r="A5158" t="s">
        <v>4681</v>
      </c>
      <c r="B5158" s="1">
        <v>1110803</v>
      </c>
      <c r="C5158" s="1">
        <v>3826</v>
      </c>
      <c r="D5158" s="2">
        <v>42431</v>
      </c>
      <c r="E5158" s="1" t="s">
        <v>18</v>
      </c>
      <c r="F5158" t="str">
        <f>HYPERLINK("http://www.sec.gov/Archives/edgar/data/1110803/0001110803-16-000175-index.html")</f>
        <v>http://www.sec.gov/Archives/edgar/data/1110803/0001110803-16-000175-index.html</v>
      </c>
    </row>
    <row r="5159" spans="1:6" x14ac:dyDescent="0.2">
      <c r="A5159" t="s">
        <v>4682</v>
      </c>
      <c r="B5159" s="1">
        <v>1156388</v>
      </c>
      <c r="C5159" s="1">
        <v>5940</v>
      </c>
      <c r="D5159" s="2">
        <v>42431</v>
      </c>
      <c r="E5159" s="1" t="s">
        <v>18</v>
      </c>
      <c r="F5159" t="str">
        <f>HYPERLINK("http://www.sec.gov/Archives/edgar/data/1156388/0001564590-16-013854-index.html")</f>
        <v>http://www.sec.gov/Archives/edgar/data/1156388/0001564590-16-013854-index.html</v>
      </c>
    </row>
    <row r="5160" spans="1:6" x14ac:dyDescent="0.2">
      <c r="A5160" t="s">
        <v>992</v>
      </c>
      <c r="B5160" s="1">
        <v>1157075</v>
      </c>
      <c r="C5160" s="1">
        <v>2833</v>
      </c>
      <c r="D5160" s="2">
        <v>42431</v>
      </c>
      <c r="E5160" s="1" t="s">
        <v>42</v>
      </c>
      <c r="F5160" t="str">
        <f>HYPERLINK("http://www.sec.gov/Archives/edgar/data/1157075/0001019687-16-005316-index.html")</f>
        <v>http://www.sec.gov/Archives/edgar/data/1157075/0001019687-16-005316-index.html</v>
      </c>
    </row>
    <row r="5161" spans="1:6" x14ac:dyDescent="0.2">
      <c r="A5161" t="s">
        <v>4683</v>
      </c>
      <c r="B5161" s="1">
        <v>1159281</v>
      </c>
      <c r="C5161" s="1">
        <v>8051</v>
      </c>
      <c r="D5161" s="2">
        <v>42431</v>
      </c>
      <c r="E5161" s="1" t="s">
        <v>18</v>
      </c>
      <c r="F5161" t="str">
        <f>HYPERLINK("http://www.sec.gov/Archives/edgar/data/1159281/0001558370-16-003783-index.html")</f>
        <v>http://www.sec.gov/Archives/edgar/data/1159281/0001558370-16-003783-index.html</v>
      </c>
    </row>
    <row r="5162" spans="1:6" x14ac:dyDescent="0.2">
      <c r="A5162" t="s">
        <v>4684</v>
      </c>
      <c r="B5162" s="1">
        <v>1172139</v>
      </c>
      <c r="C5162" s="1">
        <v>1311</v>
      </c>
      <c r="D5162" s="2">
        <v>42431</v>
      </c>
      <c r="E5162" s="1" t="s">
        <v>18</v>
      </c>
      <c r="F5162" t="str">
        <f>HYPERLINK("http://www.sec.gov/Archives/edgar/data/1172139/0001172139-16-000132-index.html")</f>
        <v>http://www.sec.gov/Archives/edgar/data/1172139/0001172139-16-000132-index.html</v>
      </c>
    </row>
    <row r="5163" spans="1:6" x14ac:dyDescent="0.2">
      <c r="A5163" t="s">
        <v>4685</v>
      </c>
      <c r="B5163" s="1">
        <v>1218683</v>
      </c>
      <c r="C5163" s="1">
        <v>2834</v>
      </c>
      <c r="D5163" s="2">
        <v>42431</v>
      </c>
      <c r="E5163" s="1" t="s">
        <v>18</v>
      </c>
      <c r="F5163" t="str">
        <f>HYPERLINK("http://www.sec.gov/Archives/edgar/data/1218683/0001213900-16-011299-index.html")</f>
        <v>http://www.sec.gov/Archives/edgar/data/1218683/0001213900-16-011299-index.html</v>
      </c>
    </row>
    <row r="5164" spans="1:6" x14ac:dyDescent="0.2">
      <c r="A5164" t="s">
        <v>4686</v>
      </c>
      <c r="B5164" s="1">
        <v>1273931</v>
      </c>
      <c r="C5164" s="1">
        <v>7389</v>
      </c>
      <c r="D5164" s="2">
        <v>42431</v>
      </c>
      <c r="E5164" s="1" t="s">
        <v>18</v>
      </c>
      <c r="F5164" t="str">
        <f>HYPERLINK("http://www.sec.gov/Archives/edgar/data/1273931/0001273931-16-000064-index.html")</f>
        <v>http://www.sec.gov/Archives/edgar/data/1273931/0001273931-16-000064-index.html</v>
      </c>
    </row>
    <row r="5165" spans="1:6" x14ac:dyDescent="0.2">
      <c r="A5165" t="s">
        <v>4687</v>
      </c>
      <c r="B5165" s="1">
        <v>1278027</v>
      </c>
      <c r="C5165" s="1">
        <v>2000</v>
      </c>
      <c r="D5165" s="2">
        <v>42431</v>
      </c>
      <c r="E5165" s="1" t="s">
        <v>18</v>
      </c>
      <c r="F5165" t="str">
        <f>HYPERLINK("http://www.sec.gov/Archives/edgar/data/1278027/0001047469-16-010671-index.html")</f>
        <v>http://www.sec.gov/Archives/edgar/data/1278027/0001047469-16-010671-index.html</v>
      </c>
    </row>
    <row r="5166" spans="1:6" x14ac:dyDescent="0.2">
      <c r="A5166" t="s">
        <v>4688</v>
      </c>
      <c r="B5166" s="1">
        <v>1328015</v>
      </c>
      <c r="C5166" s="1">
        <v>7372</v>
      </c>
      <c r="D5166" s="2">
        <v>42431</v>
      </c>
      <c r="E5166" s="1" t="s">
        <v>18</v>
      </c>
      <c r="F5166" t="str">
        <f>HYPERLINK("http://www.sec.gov/Archives/edgar/data/1328015/0001564590-16-013831-index.html")</f>
        <v>http://www.sec.gov/Archives/edgar/data/1328015/0001564590-16-013831-index.html</v>
      </c>
    </row>
    <row r="5167" spans="1:6" x14ac:dyDescent="0.2">
      <c r="A5167" t="s">
        <v>4689</v>
      </c>
      <c r="B5167" s="1">
        <v>1337553</v>
      </c>
      <c r="C5167" s="1">
        <v>2836</v>
      </c>
      <c r="D5167" s="2">
        <v>42431</v>
      </c>
      <c r="E5167" s="1" t="s">
        <v>18</v>
      </c>
      <c r="F5167" t="str">
        <f>HYPERLINK("http://www.sec.gov/Archives/edgar/data/1337553/0001628280-16-012101-index.html")</f>
        <v>http://www.sec.gov/Archives/edgar/data/1337553/0001628280-16-012101-index.html</v>
      </c>
    </row>
    <row r="5168" spans="1:6" x14ac:dyDescent="0.2">
      <c r="A5168" t="s">
        <v>4690</v>
      </c>
      <c r="B5168" s="1">
        <v>1401521</v>
      </c>
      <c r="C5168" s="1">
        <v>6331</v>
      </c>
      <c r="D5168" s="2">
        <v>42431</v>
      </c>
      <c r="E5168" s="1" t="s">
        <v>18</v>
      </c>
      <c r="F5168" t="str">
        <f>HYPERLINK("http://www.sec.gov/Archives/edgar/data/1401521/0001401521-16-000138-index.html")</f>
        <v>http://www.sec.gov/Archives/edgar/data/1401521/0001401521-16-000138-index.html</v>
      </c>
    </row>
    <row r="5169" spans="1:6" x14ac:dyDescent="0.2">
      <c r="A5169" t="s">
        <v>4691</v>
      </c>
      <c r="B5169" s="1">
        <v>1411488</v>
      </c>
      <c r="C5169" s="1">
        <v>6199</v>
      </c>
      <c r="D5169" s="2">
        <v>42431</v>
      </c>
      <c r="E5169" s="1" t="s">
        <v>18</v>
      </c>
      <c r="F5169" t="str">
        <f>HYPERLINK("http://www.sec.gov/Archives/edgar/data/1411488/0001411488-16-000077-index.html")</f>
        <v>http://www.sec.gov/Archives/edgar/data/1411488/0001411488-16-000077-index.html</v>
      </c>
    </row>
    <row r="5170" spans="1:6" x14ac:dyDescent="0.2">
      <c r="A5170" t="s">
        <v>4692</v>
      </c>
      <c r="B5170" s="1">
        <v>1446714</v>
      </c>
      <c r="C5170" s="1">
        <v>7359</v>
      </c>
      <c r="D5170" s="2">
        <v>42431</v>
      </c>
      <c r="E5170" s="1" t="s">
        <v>18</v>
      </c>
      <c r="F5170" t="str">
        <f>HYPERLINK("http://www.sec.gov/Archives/edgar/data/1446714/0001144204-16-085588-index.html")</f>
        <v>http://www.sec.gov/Archives/edgar/data/1446714/0001144204-16-085588-index.html</v>
      </c>
    </row>
    <row r="5171" spans="1:6" x14ac:dyDescent="0.2">
      <c r="A5171" t="s">
        <v>4693</v>
      </c>
      <c r="B5171" s="1">
        <v>1509892</v>
      </c>
      <c r="C5171" s="1">
        <v>6500</v>
      </c>
      <c r="D5171" s="2">
        <v>42431</v>
      </c>
      <c r="E5171" s="1" t="s">
        <v>18</v>
      </c>
      <c r="F5171" t="str">
        <f>HYPERLINK("http://www.sec.gov/Archives/edgar/data/1509892/0001171843-16-008321-index.html")</f>
        <v>http://www.sec.gov/Archives/edgar/data/1509892/0001171843-16-008321-index.html</v>
      </c>
    </row>
    <row r="5172" spans="1:6" x14ac:dyDescent="0.2">
      <c r="A5172" t="s">
        <v>4694</v>
      </c>
      <c r="B5172" s="1">
        <v>1521036</v>
      </c>
      <c r="C5172" s="1">
        <v>2835</v>
      </c>
      <c r="D5172" s="2">
        <v>42431</v>
      </c>
      <c r="E5172" s="1" t="s">
        <v>18</v>
      </c>
      <c r="F5172" t="str">
        <f>HYPERLINK("http://www.sec.gov/Archives/edgar/data/1521036/0001193125-16-490104-index.html")</f>
        <v>http://www.sec.gov/Archives/edgar/data/1521036/0001193125-16-490104-index.html</v>
      </c>
    </row>
    <row r="5173" spans="1:6" x14ac:dyDescent="0.2">
      <c r="A5173" t="s">
        <v>4695</v>
      </c>
      <c r="B5173" s="1">
        <v>1527190</v>
      </c>
      <c r="C5173" s="1">
        <v>7310</v>
      </c>
      <c r="D5173" s="2">
        <v>42431</v>
      </c>
      <c r="E5173" s="1" t="s">
        <v>18</v>
      </c>
      <c r="F5173" t="str">
        <f>HYPERLINK("http://www.sec.gov/Archives/edgar/data/1527190/0001564590-16-013837-index.html")</f>
        <v>http://www.sec.gov/Archives/edgar/data/1527190/0001564590-16-013837-index.html</v>
      </c>
    </row>
    <row r="5174" spans="1:6" x14ac:dyDescent="0.2">
      <c r="A5174" t="s">
        <v>1529</v>
      </c>
      <c r="B5174" s="1">
        <v>1565700</v>
      </c>
      <c r="C5174" s="1">
        <v>7374</v>
      </c>
      <c r="D5174" s="2">
        <v>42431</v>
      </c>
      <c r="E5174" s="1" t="s">
        <v>42</v>
      </c>
      <c r="F5174" t="str">
        <f>HYPERLINK("http://www.sec.gov/Archives/edgar/data/1565700/0001014897-16-000473-index.html")</f>
        <v>http://www.sec.gov/Archives/edgar/data/1565700/0001014897-16-000473-index.html</v>
      </c>
    </row>
    <row r="5175" spans="1:6" x14ac:dyDescent="0.2">
      <c r="A5175" t="s">
        <v>4696</v>
      </c>
      <c r="B5175" s="1">
        <v>1569187</v>
      </c>
      <c r="C5175" s="1">
        <v>6500</v>
      </c>
      <c r="D5175" s="2">
        <v>42431</v>
      </c>
      <c r="E5175" s="1" t="s">
        <v>18</v>
      </c>
      <c r="F5175" t="str">
        <f>HYPERLINK("http://www.sec.gov/Archives/edgar/data/1569187/0001558370-16-003756-index.html")</f>
        <v>http://www.sec.gov/Archives/edgar/data/1569187/0001558370-16-003756-index.html</v>
      </c>
    </row>
    <row r="5176" spans="1:6" x14ac:dyDescent="0.2">
      <c r="A5176" t="s">
        <v>4697</v>
      </c>
      <c r="B5176" s="1">
        <v>1572694</v>
      </c>
      <c r="C5176" s="1">
        <v>2836</v>
      </c>
      <c r="D5176" s="2">
        <v>42431</v>
      </c>
      <c r="E5176" s="1" t="s">
        <v>18</v>
      </c>
      <c r="F5176" t="str">
        <f>HYPERLINK("http://www.sec.gov/Archives/edgar/data/1572694/0001193125-16-490118-index.html")</f>
        <v>http://www.sec.gov/Archives/edgar/data/1572694/0001193125-16-490118-index.html</v>
      </c>
    </row>
    <row r="5177" spans="1:6" x14ac:dyDescent="0.2">
      <c r="A5177" t="s">
        <v>579</v>
      </c>
      <c r="B5177" s="1">
        <v>1614106</v>
      </c>
      <c r="C5177" s="1">
        <v>6799</v>
      </c>
      <c r="D5177" s="2">
        <v>42431</v>
      </c>
      <c r="E5177" s="1" t="s">
        <v>18</v>
      </c>
      <c r="F5177" t="str">
        <f>HYPERLINK("http://www.sec.gov/Archives/edgar/data/1614106/0001614106-16-000006-index.html")</f>
        <v>http://www.sec.gov/Archives/edgar/data/1614106/0001614106-16-000006-index.html</v>
      </c>
    </row>
    <row r="5178" spans="1:6" x14ac:dyDescent="0.2">
      <c r="A5178" t="s">
        <v>4698</v>
      </c>
      <c r="B5178" s="1">
        <v>1622194</v>
      </c>
      <c r="C5178" s="1">
        <v>6798</v>
      </c>
      <c r="D5178" s="2">
        <v>42431</v>
      </c>
      <c r="E5178" s="1" t="s">
        <v>18</v>
      </c>
      <c r="F5178" t="str">
        <f>HYPERLINK("http://www.sec.gov/Archives/edgar/data/1622194/0001564590-16-013875-index.html")</f>
        <v>http://www.sec.gov/Archives/edgar/data/1622194/0001564590-16-013875-index.html</v>
      </c>
    </row>
    <row r="5179" spans="1:6" x14ac:dyDescent="0.2">
      <c r="A5179" t="s">
        <v>4699</v>
      </c>
      <c r="B5179" s="1">
        <v>1637913</v>
      </c>
      <c r="C5179" s="1">
        <v>3559</v>
      </c>
      <c r="D5179" s="2">
        <v>42431</v>
      </c>
      <c r="E5179" s="1" t="s">
        <v>18</v>
      </c>
      <c r="F5179" t="str">
        <f>HYPERLINK("http://www.sec.gov/Archives/edgar/data/1637913/0001628280-16-012117-index.html")</f>
        <v>http://www.sec.gov/Archives/edgar/data/1637913/0001628280-16-012117-index.html</v>
      </c>
    </row>
    <row r="5180" spans="1:6" x14ac:dyDescent="0.2">
      <c r="A5180" t="s">
        <v>4700</v>
      </c>
      <c r="B5180" s="1">
        <v>2186</v>
      </c>
      <c r="C5180" s="1">
        <v>3663</v>
      </c>
      <c r="D5180" s="2">
        <v>42431</v>
      </c>
      <c r="E5180" s="1" t="s">
        <v>18</v>
      </c>
      <c r="F5180" t="str">
        <f>HYPERLINK("http://www.sec.gov/Archives/edgar/data/2186/0001354488-16-006435-index.html")</f>
        <v>http://www.sec.gov/Archives/edgar/data/2186/0001354488-16-006435-index.html</v>
      </c>
    </row>
    <row r="5181" spans="1:6" x14ac:dyDescent="0.2">
      <c r="A5181" t="s">
        <v>4701</v>
      </c>
      <c r="B5181" s="1">
        <v>225263</v>
      </c>
      <c r="C5181" s="1">
        <v>3821</v>
      </c>
      <c r="D5181" s="2">
        <v>42431</v>
      </c>
      <c r="E5181" s="1" t="s">
        <v>18</v>
      </c>
      <c r="F5181" t="str">
        <f>HYPERLINK("http://www.sec.gov/Archives/edgar/data/225263/0001104659-16-101715-index.html")</f>
        <v>http://www.sec.gov/Archives/edgar/data/225263/0001104659-16-101715-index.html</v>
      </c>
    </row>
    <row r="5182" spans="1:6" x14ac:dyDescent="0.2">
      <c r="A5182" t="s">
        <v>4702</v>
      </c>
      <c r="B5182" s="1">
        <v>316300</v>
      </c>
      <c r="C5182" s="1">
        <v>1311</v>
      </c>
      <c r="D5182" s="2">
        <v>42431</v>
      </c>
      <c r="E5182" s="1" t="s">
        <v>18</v>
      </c>
      <c r="F5182" t="str">
        <f>HYPERLINK("http://www.sec.gov/Archives/edgar/data/316300/0000316300-16-000087-index.html")</f>
        <v>http://www.sec.gov/Archives/edgar/data/316300/0000316300-16-000087-index.html</v>
      </c>
    </row>
    <row r="5183" spans="1:6" x14ac:dyDescent="0.2">
      <c r="A5183" t="s">
        <v>4703</v>
      </c>
      <c r="B5183" s="1">
        <v>352736</v>
      </c>
      <c r="C5183" s="1">
        <v>6311</v>
      </c>
      <c r="D5183" s="2">
        <v>42431</v>
      </c>
      <c r="E5183" s="1" t="s">
        <v>18</v>
      </c>
      <c r="F5183" t="str">
        <f>HYPERLINK("http://www.sec.gov/Archives/edgar/data/352736/0000352736-16-000022-index.html")</f>
        <v>http://www.sec.gov/Archives/edgar/data/352736/0000352736-16-000022-index.html</v>
      </c>
    </row>
    <row r="5184" spans="1:6" x14ac:dyDescent="0.2">
      <c r="A5184" t="s">
        <v>4704</v>
      </c>
      <c r="B5184" s="1">
        <v>37008</v>
      </c>
      <c r="C5184" s="1">
        <v>6798</v>
      </c>
      <c r="D5184" s="2">
        <v>42431</v>
      </c>
      <c r="E5184" s="1" t="s">
        <v>18</v>
      </c>
      <c r="F5184" t="str">
        <f>HYPERLINK("http://www.sec.gov/Archives/edgar/data/37008/0001193125-16-490122-index.html")</f>
        <v>http://www.sec.gov/Archives/edgar/data/37008/0001193125-16-490122-index.html</v>
      </c>
    </row>
    <row r="5185" spans="1:6" x14ac:dyDescent="0.2">
      <c r="A5185" t="s">
        <v>4705</v>
      </c>
      <c r="B5185" s="1">
        <v>38725</v>
      </c>
      <c r="C5185" s="1">
        <v>3621</v>
      </c>
      <c r="D5185" s="2">
        <v>42431</v>
      </c>
      <c r="E5185" s="1" t="s">
        <v>18</v>
      </c>
      <c r="F5185" t="str">
        <f>HYPERLINK("http://www.sec.gov/Archives/edgar/data/38725/0000038725-16-000276-index.html")</f>
        <v>http://www.sec.gov/Archives/edgar/data/38725/0000038725-16-000276-index.html</v>
      </c>
    </row>
    <row r="5186" spans="1:6" x14ac:dyDescent="0.2">
      <c r="A5186" t="s">
        <v>4706</v>
      </c>
      <c r="B5186" s="1">
        <v>5981</v>
      </c>
      <c r="C5186" s="1">
        <v>2870</v>
      </c>
      <c r="D5186" s="2">
        <v>42431</v>
      </c>
      <c r="E5186" s="1" t="s">
        <v>18</v>
      </c>
      <c r="F5186" t="str">
        <f>HYPERLINK("http://www.sec.gov/Archives/edgar/data/5981/0001193125-16-488588-index.html")</f>
        <v>http://www.sec.gov/Archives/edgar/data/5981/0001193125-16-488588-index.html</v>
      </c>
    </row>
    <row r="5187" spans="1:6" x14ac:dyDescent="0.2">
      <c r="A5187" t="s">
        <v>4707</v>
      </c>
      <c r="B5187" s="1">
        <v>700841</v>
      </c>
      <c r="C5187" s="1">
        <v>7363</v>
      </c>
      <c r="D5187" s="2">
        <v>42431</v>
      </c>
      <c r="E5187" s="1" t="s">
        <v>18</v>
      </c>
      <c r="F5187" t="str">
        <f>HYPERLINK("http://www.sec.gov/Archives/edgar/data/700841/0000700841-16-000036-index.html")</f>
        <v>http://www.sec.gov/Archives/edgar/data/700841/0000700841-16-000036-index.html</v>
      </c>
    </row>
    <row r="5188" spans="1:6" x14ac:dyDescent="0.2">
      <c r="A5188" t="s">
        <v>4708</v>
      </c>
      <c r="B5188" s="1">
        <v>715787</v>
      </c>
      <c r="C5188" s="1">
        <v>2273</v>
      </c>
      <c r="D5188" s="2">
        <v>42431</v>
      </c>
      <c r="E5188" s="1" t="s">
        <v>18</v>
      </c>
      <c r="F5188" t="str">
        <f>HYPERLINK("http://www.sec.gov/Archives/edgar/data/715787/0001437749-16-026549-index.html")</f>
        <v>http://www.sec.gov/Archives/edgar/data/715787/0001437749-16-026549-index.html</v>
      </c>
    </row>
    <row r="5189" spans="1:6" x14ac:dyDescent="0.2">
      <c r="A5189" t="s">
        <v>4709</v>
      </c>
      <c r="B5189" s="1">
        <v>726854</v>
      </c>
      <c r="C5189" s="1">
        <v>6021</v>
      </c>
      <c r="D5189" s="2">
        <v>42431</v>
      </c>
      <c r="E5189" s="1" t="s">
        <v>18</v>
      </c>
      <c r="F5189" t="str">
        <f>HYPERLINK("http://www.sec.gov/Archives/edgar/data/726854/0000726854-16-000064-index.html")</f>
        <v>http://www.sec.gov/Archives/edgar/data/726854/0000726854-16-000064-index.html</v>
      </c>
    </row>
    <row r="5190" spans="1:6" x14ac:dyDescent="0.2">
      <c r="A5190" t="s">
        <v>4710</v>
      </c>
      <c r="B5190" s="1">
        <v>769520</v>
      </c>
      <c r="C5190" s="1">
        <v>3580</v>
      </c>
      <c r="D5190" s="2">
        <v>42431</v>
      </c>
      <c r="E5190" s="1" t="s">
        <v>18</v>
      </c>
      <c r="F5190" t="str">
        <f>HYPERLINK("http://www.sec.gov/Archives/edgar/data/769520/0000769520-16-000010-index.html")</f>
        <v>http://www.sec.gov/Archives/edgar/data/769520/0000769520-16-000010-index.html</v>
      </c>
    </row>
    <row r="5191" spans="1:6" x14ac:dyDescent="0.2">
      <c r="A5191" t="s">
        <v>4711</v>
      </c>
      <c r="B5191" s="1">
        <v>789933</v>
      </c>
      <c r="C5191" s="1">
        <v>3630</v>
      </c>
      <c r="D5191" s="2">
        <v>42431</v>
      </c>
      <c r="E5191" s="1" t="s">
        <v>18</v>
      </c>
      <c r="F5191" t="str">
        <f>HYPERLINK("http://www.sec.gov/Archives/edgar/data/789933/0000789933-16-000069-index.html")</f>
        <v>http://www.sec.gov/Archives/edgar/data/789933/0000789933-16-000069-index.html</v>
      </c>
    </row>
    <row r="5192" spans="1:6" x14ac:dyDescent="0.2">
      <c r="A5192" t="s">
        <v>4712</v>
      </c>
      <c r="B5192" s="1">
        <v>791915</v>
      </c>
      <c r="C5192" s="1">
        <v>3674</v>
      </c>
      <c r="D5192" s="2">
        <v>42431</v>
      </c>
      <c r="E5192" s="1" t="s">
        <v>18</v>
      </c>
      <c r="F5192" t="str">
        <f>HYPERLINK("http://www.sec.gov/Archives/edgar/data/791915/0001564590-16-013820-index.html")</f>
        <v>http://www.sec.gov/Archives/edgar/data/791915/0001564590-16-013820-index.html</v>
      </c>
    </row>
    <row r="5193" spans="1:6" x14ac:dyDescent="0.2">
      <c r="A5193" t="s">
        <v>4713</v>
      </c>
      <c r="B5193" s="1">
        <v>799231</v>
      </c>
      <c r="C5193" s="1">
        <v>8300</v>
      </c>
      <c r="D5193" s="2">
        <v>42431</v>
      </c>
      <c r="E5193" s="1" t="s">
        <v>18</v>
      </c>
      <c r="F5193" t="str">
        <f>HYPERLINK("http://www.sec.gov/Archives/edgar/data/799231/0001558370-16-003766-index.html")</f>
        <v>http://www.sec.gov/Archives/edgar/data/799231/0001558370-16-003766-index.html</v>
      </c>
    </row>
    <row r="5194" spans="1:6" x14ac:dyDescent="0.2">
      <c r="A5194" t="s">
        <v>2029</v>
      </c>
      <c r="B5194" s="1">
        <v>813920</v>
      </c>
      <c r="C5194" s="1">
        <v>5812</v>
      </c>
      <c r="D5194" s="2">
        <v>42431</v>
      </c>
      <c r="E5194" s="1" t="s">
        <v>18</v>
      </c>
      <c r="F5194" t="str">
        <f>HYPERLINK("http://www.sec.gov/Archives/edgar/data/813920/0000813920-16-000036-index.html")</f>
        <v>http://www.sec.gov/Archives/edgar/data/813920/0000813920-16-000036-index.html</v>
      </c>
    </row>
    <row r="5195" spans="1:6" x14ac:dyDescent="0.2">
      <c r="A5195" t="s">
        <v>4714</v>
      </c>
      <c r="B5195" s="1">
        <v>82811</v>
      </c>
      <c r="C5195" s="1">
        <v>3621</v>
      </c>
      <c r="D5195" s="2">
        <v>42431</v>
      </c>
      <c r="E5195" s="1" t="s">
        <v>18</v>
      </c>
      <c r="F5195" t="str">
        <f>HYPERLINK("http://www.sec.gov/Archives/edgar/data/82811/0000082811-16-000124-index.html")</f>
        <v>http://www.sec.gov/Archives/edgar/data/82811/0000082811-16-000124-index.html</v>
      </c>
    </row>
    <row r="5196" spans="1:6" x14ac:dyDescent="0.2">
      <c r="A5196" t="s">
        <v>4715</v>
      </c>
      <c r="B5196" s="1">
        <v>855658</v>
      </c>
      <c r="C5196" s="1">
        <v>3674</v>
      </c>
      <c r="D5196" s="2">
        <v>42431</v>
      </c>
      <c r="E5196" s="1" t="s">
        <v>18</v>
      </c>
      <c r="F5196" t="str">
        <f>HYPERLINK("http://www.sec.gov/Archives/edgar/data/855658/0000855658-16-000180-index.html")</f>
        <v>http://www.sec.gov/Archives/edgar/data/855658/0000855658-16-000180-index.html</v>
      </c>
    </row>
    <row r="5197" spans="1:6" x14ac:dyDescent="0.2">
      <c r="A5197" t="s">
        <v>4716</v>
      </c>
      <c r="B5197" s="1">
        <v>873044</v>
      </c>
      <c r="C5197" s="1">
        <v>3577</v>
      </c>
      <c r="D5197" s="2">
        <v>42431</v>
      </c>
      <c r="E5197" s="1" t="s">
        <v>18</v>
      </c>
      <c r="F5197" t="str">
        <f>HYPERLINK("http://www.sec.gov/Archives/edgar/data/873044/0000873044-16-000154-index.html")</f>
        <v>http://www.sec.gov/Archives/edgar/data/873044/0000873044-16-000154-index.html</v>
      </c>
    </row>
    <row r="5198" spans="1:6" x14ac:dyDescent="0.2">
      <c r="A5198" t="s">
        <v>4717</v>
      </c>
      <c r="B5198" s="1">
        <v>874977</v>
      </c>
      <c r="C5198" s="1">
        <v>6331</v>
      </c>
      <c r="D5198" s="2">
        <v>42431</v>
      </c>
      <c r="E5198" s="1" t="s">
        <v>18</v>
      </c>
      <c r="F5198" t="str">
        <f>HYPERLINK("http://www.sec.gov/Archives/edgar/data/874977/0000874977-16-000148-index.html")</f>
        <v>http://www.sec.gov/Archives/edgar/data/874977/0000874977-16-000148-index.html</v>
      </c>
    </row>
    <row r="5199" spans="1:6" x14ac:dyDescent="0.2">
      <c r="A5199" t="s">
        <v>4718</v>
      </c>
      <c r="B5199" s="1">
        <v>875657</v>
      </c>
      <c r="C5199" s="1">
        <v>3690</v>
      </c>
      <c r="D5199" s="2">
        <v>42431</v>
      </c>
      <c r="E5199" s="1" t="s">
        <v>18</v>
      </c>
      <c r="F5199" t="str">
        <f>HYPERLINK("http://www.sec.gov/Archives/edgar/data/875657/0000875657-16-000069-index.html")</f>
        <v>http://www.sec.gov/Archives/edgar/data/875657/0000875657-16-000069-index.html</v>
      </c>
    </row>
    <row r="5200" spans="1:6" x14ac:dyDescent="0.2">
      <c r="A5200" t="s">
        <v>4719</v>
      </c>
      <c r="B5200" s="1">
        <v>877422</v>
      </c>
      <c r="C5200" s="1">
        <v>5141</v>
      </c>
      <c r="D5200" s="2">
        <v>42431</v>
      </c>
      <c r="E5200" s="1" t="s">
        <v>18</v>
      </c>
      <c r="F5200" t="str">
        <f>HYPERLINK("http://www.sec.gov/Archives/edgar/data/877422/0001564590-16-013895-index.html")</f>
        <v>http://www.sec.gov/Archives/edgar/data/877422/0001564590-16-013895-index.html</v>
      </c>
    </row>
    <row r="5201" spans="1:6" x14ac:dyDescent="0.2">
      <c r="A5201" t="s">
        <v>4720</v>
      </c>
      <c r="B5201" s="1">
        <v>892222</v>
      </c>
      <c r="C5201" s="1">
        <v>2082</v>
      </c>
      <c r="D5201" s="2">
        <v>42431</v>
      </c>
      <c r="E5201" s="1" t="s">
        <v>18</v>
      </c>
      <c r="F5201" t="str">
        <f>HYPERLINK("http://www.sec.gov/Archives/edgar/data/892222/0000892222-16-000066-index.html")</f>
        <v>http://www.sec.gov/Archives/edgar/data/892222/0000892222-16-000066-index.html</v>
      </c>
    </row>
    <row r="5202" spans="1:6" x14ac:dyDescent="0.2">
      <c r="A5202" t="s">
        <v>4721</v>
      </c>
      <c r="B5202" s="1">
        <v>893691</v>
      </c>
      <c r="C5202" s="1">
        <v>2430</v>
      </c>
      <c r="D5202" s="2">
        <v>42431</v>
      </c>
      <c r="E5202" s="1" t="s">
        <v>18</v>
      </c>
      <c r="F5202" t="str">
        <f>HYPERLINK("http://www.sec.gov/Archives/edgar/data/893691/0000893691-16-000072-index.html")</f>
        <v>http://www.sec.gov/Archives/edgar/data/893691/0000893691-16-000072-index.html</v>
      </c>
    </row>
    <row r="5203" spans="1:6" x14ac:dyDescent="0.2">
      <c r="A5203" t="s">
        <v>4722</v>
      </c>
      <c r="B5203" s="1">
        <v>898171</v>
      </c>
      <c r="C5203" s="1">
        <v>6022</v>
      </c>
      <c r="D5203" s="2">
        <v>42431</v>
      </c>
      <c r="E5203" s="1" t="s">
        <v>18</v>
      </c>
      <c r="F5203" t="str">
        <f>HYPERLINK("http://www.sec.gov/Archives/edgar/data/898171/0001193125-16-489979-index.html")</f>
        <v>http://www.sec.gov/Archives/edgar/data/898171/0001193125-16-489979-index.html</v>
      </c>
    </row>
    <row r="5204" spans="1:6" x14ac:dyDescent="0.2">
      <c r="A5204" t="s">
        <v>4723</v>
      </c>
      <c r="B5204" s="1">
        <v>911177</v>
      </c>
      <c r="C5204" s="1">
        <v>4953</v>
      </c>
      <c r="D5204" s="2">
        <v>42431</v>
      </c>
      <c r="E5204" s="1" t="s">
        <v>18</v>
      </c>
      <c r="F5204" t="str">
        <f>HYPERLINK("http://www.sec.gov/Archives/edgar/data/911177/0001193125-16-490223-index.html")</f>
        <v>http://www.sec.gov/Archives/edgar/data/911177/0001193125-16-490223-index.html</v>
      </c>
    </row>
    <row r="5205" spans="1:6" x14ac:dyDescent="0.2">
      <c r="A5205" t="s">
        <v>1529</v>
      </c>
      <c r="B5205" s="1">
        <v>1565700</v>
      </c>
      <c r="C5205" s="1">
        <v>7374</v>
      </c>
      <c r="D5205" s="2">
        <v>42431</v>
      </c>
      <c r="E5205" s="1" t="s">
        <v>42</v>
      </c>
      <c r="F5205" t="str">
        <f>HYPERLINK("http://www.sec.gov/Archives/edgar/data/1565700/0001014897-16-000473-index.html")</f>
        <v>http://www.sec.gov/Archives/edgar/data/1565700/0001014897-16-000473-index.html</v>
      </c>
    </row>
    <row r="5206" spans="1:6" x14ac:dyDescent="0.2">
      <c r="A5206" t="s">
        <v>4724</v>
      </c>
      <c r="B5206" s="1">
        <v>1023291</v>
      </c>
      <c r="C5206" s="1">
        <v>4911</v>
      </c>
      <c r="D5206" s="2">
        <v>42430</v>
      </c>
      <c r="E5206" s="1" t="s">
        <v>18</v>
      </c>
      <c r="F5206" t="str">
        <f>HYPERLINK("http://www.sec.gov/Archives/edgar/data/1023291/0001023291-16-000017-index.html")</f>
        <v>http://www.sec.gov/Archives/edgar/data/1023291/0001023291-16-000017-index.html</v>
      </c>
    </row>
    <row r="5207" spans="1:6" x14ac:dyDescent="0.2">
      <c r="A5207" t="s">
        <v>4725</v>
      </c>
      <c r="B5207" s="1">
        <v>1024795</v>
      </c>
      <c r="C5207" s="1">
        <v>3490</v>
      </c>
      <c r="D5207" s="2">
        <v>42430</v>
      </c>
      <c r="E5207" s="1" t="s">
        <v>18</v>
      </c>
      <c r="F5207" t="str">
        <f>HYPERLINK("http://www.sec.gov/Archives/edgar/data/1024795/0001024795-16-000051-index.html")</f>
        <v>http://www.sec.gov/Archives/edgar/data/1024795/0001024795-16-000051-index.html</v>
      </c>
    </row>
    <row r="5208" spans="1:6" x14ac:dyDescent="0.2">
      <c r="A5208" t="s">
        <v>4726</v>
      </c>
      <c r="B5208" s="1">
        <v>1027207</v>
      </c>
      <c r="C5208" s="1">
        <v>7371</v>
      </c>
      <c r="D5208" s="2">
        <v>42430</v>
      </c>
      <c r="E5208" s="1" t="s">
        <v>18</v>
      </c>
      <c r="F5208" t="str">
        <f>HYPERLINK("http://www.sec.gov/Archives/edgar/data/1027207/0001047469-16-010631-index.html")</f>
        <v>http://www.sec.gov/Archives/edgar/data/1027207/0001047469-16-010631-index.html</v>
      </c>
    </row>
    <row r="5209" spans="1:6" x14ac:dyDescent="0.2">
      <c r="A5209" t="s">
        <v>4727</v>
      </c>
      <c r="B5209" s="1">
        <v>1052595</v>
      </c>
      <c r="C5209" s="1">
        <v>7011</v>
      </c>
      <c r="D5209" s="2">
        <v>42430</v>
      </c>
      <c r="E5209" s="1" t="s">
        <v>18</v>
      </c>
      <c r="F5209" t="str">
        <f>HYPERLINK("http://www.sec.gov/Archives/edgar/data/1052595/0001052595-16-000035-index.html")</f>
        <v>http://www.sec.gov/Archives/edgar/data/1052595/0001052595-16-000035-index.html</v>
      </c>
    </row>
    <row r="5210" spans="1:6" x14ac:dyDescent="0.2">
      <c r="A5210" t="s">
        <v>4728</v>
      </c>
      <c r="B5210" s="1">
        <v>1059262</v>
      </c>
      <c r="C5210" s="1">
        <v>7510</v>
      </c>
      <c r="D5210" s="2">
        <v>42430</v>
      </c>
      <c r="E5210" s="1" t="s">
        <v>18</v>
      </c>
      <c r="F5210" t="str">
        <f>HYPERLINK("http://www.sec.gov/Archives/edgar/data/1059262/0001628280-16-012094-index.html")</f>
        <v>http://www.sec.gov/Archives/edgar/data/1059262/0001628280-16-012094-index.html</v>
      </c>
    </row>
    <row r="5211" spans="1:6" x14ac:dyDescent="0.2">
      <c r="A5211" t="s">
        <v>4729</v>
      </c>
      <c r="B5211" s="1">
        <v>1075736</v>
      </c>
      <c r="C5211" s="1">
        <v>7373</v>
      </c>
      <c r="D5211" s="2">
        <v>42430</v>
      </c>
      <c r="E5211" s="1" t="s">
        <v>18</v>
      </c>
      <c r="F5211" t="str">
        <f>HYPERLINK("http://www.sec.gov/Archives/edgar/data/1075736/0001354488-16-006418-index.html")</f>
        <v>http://www.sec.gov/Archives/edgar/data/1075736/0001354488-16-006418-index.html</v>
      </c>
    </row>
    <row r="5212" spans="1:6" x14ac:dyDescent="0.2">
      <c r="A5212" t="s">
        <v>4730</v>
      </c>
      <c r="B5212" s="1">
        <v>1082038</v>
      </c>
      <c r="C5212" s="1">
        <v>2834</v>
      </c>
      <c r="D5212" s="2">
        <v>42430</v>
      </c>
      <c r="E5212" s="1" t="s">
        <v>18</v>
      </c>
      <c r="F5212" t="str">
        <f>HYPERLINK("http://www.sec.gov/Archives/edgar/data/1082038/0001193125-16-488358-index.html")</f>
        <v>http://www.sec.gov/Archives/edgar/data/1082038/0001193125-16-488358-index.html</v>
      </c>
    </row>
    <row r="5213" spans="1:6" x14ac:dyDescent="0.2">
      <c r="A5213" t="s">
        <v>4731</v>
      </c>
      <c r="B5213" s="1">
        <v>1091171</v>
      </c>
      <c r="C5213" s="1">
        <v>5944</v>
      </c>
      <c r="D5213" s="2">
        <v>42430</v>
      </c>
      <c r="E5213" s="1" t="s">
        <v>18</v>
      </c>
      <c r="F5213" t="str">
        <f>HYPERLINK("http://www.sec.gov/Archives/edgar/data/1091171/0001091171-16-000189-index.html")</f>
        <v>http://www.sec.gov/Archives/edgar/data/1091171/0001091171-16-000189-index.html</v>
      </c>
    </row>
    <row r="5214" spans="1:6" x14ac:dyDescent="0.2">
      <c r="A5214" t="s">
        <v>4732</v>
      </c>
      <c r="B5214" s="1">
        <v>1094285</v>
      </c>
      <c r="C5214" s="1">
        <v>3812</v>
      </c>
      <c r="D5214" s="2">
        <v>42430</v>
      </c>
      <c r="E5214" s="1" t="s">
        <v>18</v>
      </c>
      <c r="F5214" t="str">
        <f>HYPERLINK("http://www.sec.gov/Archives/edgar/data/1094285/0001094285-16-000177-index.html")</f>
        <v>http://www.sec.gov/Archives/edgar/data/1094285/0001094285-16-000177-index.html</v>
      </c>
    </row>
    <row r="5215" spans="1:6" x14ac:dyDescent="0.2">
      <c r="A5215" t="s">
        <v>4733</v>
      </c>
      <c r="B5215" s="1">
        <v>110471</v>
      </c>
      <c r="C5215" s="1">
        <v>3140</v>
      </c>
      <c r="D5215" s="2">
        <v>42430</v>
      </c>
      <c r="E5215" s="1" t="s">
        <v>18</v>
      </c>
      <c r="F5215" t="str">
        <f>HYPERLINK("http://www.sec.gov/Archives/edgar/data/110471/0000110471-16-000050-index.html")</f>
        <v>http://www.sec.gov/Archives/edgar/data/110471/0000110471-16-000050-index.html</v>
      </c>
    </row>
    <row r="5216" spans="1:6" x14ac:dyDescent="0.2">
      <c r="A5216" t="s">
        <v>4734</v>
      </c>
      <c r="B5216" s="1">
        <v>1114483</v>
      </c>
      <c r="C5216" s="1">
        <v>3690</v>
      </c>
      <c r="D5216" s="2">
        <v>42430</v>
      </c>
      <c r="E5216" s="1" t="s">
        <v>18</v>
      </c>
      <c r="F5216" t="str">
        <f>HYPERLINK("http://www.sec.gov/Archives/edgar/data/1114483/0001114483-16-000021-index.html")</f>
        <v>http://www.sec.gov/Archives/edgar/data/1114483/0001114483-16-000021-index.html</v>
      </c>
    </row>
    <row r="5217" spans="1:6" x14ac:dyDescent="0.2">
      <c r="A5217" t="s">
        <v>4735</v>
      </c>
      <c r="B5217" s="1">
        <v>1120914</v>
      </c>
      <c r="C5217" s="1">
        <v>7371</v>
      </c>
      <c r="D5217" s="2">
        <v>42430</v>
      </c>
      <c r="E5217" s="1" t="s">
        <v>18</v>
      </c>
      <c r="F5217" t="str">
        <f>HYPERLINK("http://www.sec.gov/Archives/edgar/data/1120914/0001437749-16-026490-index.html")</f>
        <v>http://www.sec.gov/Archives/edgar/data/1120914/0001437749-16-026490-index.html</v>
      </c>
    </row>
    <row r="5218" spans="1:6" x14ac:dyDescent="0.2">
      <c r="A5218" t="s">
        <v>4736</v>
      </c>
      <c r="B5218" s="1">
        <v>1122897</v>
      </c>
      <c r="C5218" s="1">
        <v>7372</v>
      </c>
      <c r="D5218" s="2">
        <v>42430</v>
      </c>
      <c r="E5218" s="1" t="s">
        <v>18</v>
      </c>
      <c r="F5218" t="str">
        <f>HYPERLINK("http://www.sec.gov/Archives/edgar/data/1122897/0001122897-16-000029-index.html")</f>
        <v>http://www.sec.gov/Archives/edgar/data/1122897/0001122897-16-000029-index.html</v>
      </c>
    </row>
    <row r="5219" spans="1:6" x14ac:dyDescent="0.2">
      <c r="A5219" t="s">
        <v>4737</v>
      </c>
      <c r="B5219" s="1">
        <v>1158449</v>
      </c>
      <c r="C5219" s="1">
        <v>5531</v>
      </c>
      <c r="D5219" s="2">
        <v>42430</v>
      </c>
      <c r="E5219" s="1" t="s">
        <v>18</v>
      </c>
      <c r="F5219" t="str">
        <f>HYPERLINK("http://www.sec.gov/Archives/edgar/data/1158449/0001158449-16-000299-index.html")</f>
        <v>http://www.sec.gov/Archives/edgar/data/1158449/0001158449-16-000299-index.html</v>
      </c>
    </row>
    <row r="5220" spans="1:6" x14ac:dyDescent="0.2">
      <c r="A5220" t="s">
        <v>4738</v>
      </c>
      <c r="B5220" s="1">
        <v>1275158</v>
      </c>
      <c r="C5220" s="1">
        <v>5812</v>
      </c>
      <c r="D5220" s="2">
        <v>42430</v>
      </c>
      <c r="E5220" s="1" t="s">
        <v>18</v>
      </c>
      <c r="F5220" t="str">
        <f>HYPERLINK("http://www.sec.gov/Archives/edgar/data/1275158/0001275158-16-000096-index.html")</f>
        <v>http://www.sec.gov/Archives/edgar/data/1275158/0001275158-16-000096-index.html</v>
      </c>
    </row>
    <row r="5221" spans="1:6" x14ac:dyDescent="0.2">
      <c r="A5221" t="s">
        <v>4739</v>
      </c>
      <c r="B5221" s="1">
        <v>1289419</v>
      </c>
      <c r="C5221" s="1">
        <v>6282</v>
      </c>
      <c r="D5221" s="2">
        <v>42430</v>
      </c>
      <c r="E5221" s="1" t="s">
        <v>42</v>
      </c>
      <c r="F5221" t="str">
        <f>HYPERLINK("http://www.sec.gov/Archives/edgar/data/1289419/0001289419-16-000256-index.html")</f>
        <v>http://www.sec.gov/Archives/edgar/data/1289419/0001289419-16-000256-index.html</v>
      </c>
    </row>
    <row r="5222" spans="1:6" x14ac:dyDescent="0.2">
      <c r="A5222" t="s">
        <v>4740</v>
      </c>
      <c r="B5222" s="1">
        <v>1305168</v>
      </c>
      <c r="C5222" s="1">
        <v>7330</v>
      </c>
      <c r="D5222" s="2">
        <v>42430</v>
      </c>
      <c r="E5222" s="1" t="s">
        <v>18</v>
      </c>
      <c r="F5222" t="str">
        <f>HYPERLINK("http://www.sec.gov/Archives/edgar/data/1305168/0001305168-16-000028-index.html")</f>
        <v>http://www.sec.gov/Archives/edgar/data/1305168/0001305168-16-000028-index.html</v>
      </c>
    </row>
    <row r="5223" spans="1:6" x14ac:dyDescent="0.2">
      <c r="A5223" t="s">
        <v>4741</v>
      </c>
      <c r="B5223" s="1">
        <v>1365038</v>
      </c>
      <c r="C5223" s="1">
        <v>7374</v>
      </c>
      <c r="D5223" s="2">
        <v>42430</v>
      </c>
      <c r="E5223" s="1" t="s">
        <v>18</v>
      </c>
      <c r="F5223" t="str">
        <f>HYPERLINK("http://www.sec.gov/Archives/edgar/data/1365038/0001558370-16-003739-index.html")</f>
        <v>http://www.sec.gov/Archives/edgar/data/1365038/0001558370-16-003739-index.html</v>
      </c>
    </row>
    <row r="5224" spans="1:6" x14ac:dyDescent="0.2">
      <c r="A5224" t="s">
        <v>4742</v>
      </c>
      <c r="B5224" s="1">
        <v>1367920</v>
      </c>
      <c r="C5224" s="1">
        <v>2834</v>
      </c>
      <c r="D5224" s="2">
        <v>42430</v>
      </c>
      <c r="E5224" s="1" t="s">
        <v>18</v>
      </c>
      <c r="F5224" t="str">
        <f>HYPERLINK("http://www.sec.gov/Archives/edgar/data/1367920/0001367920-16-000014-index.html")</f>
        <v>http://www.sec.gov/Archives/edgar/data/1367920/0001367920-16-000014-index.html</v>
      </c>
    </row>
    <row r="5225" spans="1:6" x14ac:dyDescent="0.2">
      <c r="A5225" t="s">
        <v>4743</v>
      </c>
      <c r="B5225" s="1">
        <v>1370637</v>
      </c>
      <c r="C5225" s="1">
        <v>7389</v>
      </c>
      <c r="D5225" s="2">
        <v>42430</v>
      </c>
      <c r="E5225" s="1" t="s">
        <v>18</v>
      </c>
      <c r="F5225" t="str">
        <f>HYPERLINK("http://www.sec.gov/Archives/edgar/data/1370637/0001370637-16-000032-index.html")</f>
        <v>http://www.sec.gov/Archives/edgar/data/1370637/0001370637-16-000032-index.html</v>
      </c>
    </row>
    <row r="5226" spans="1:6" x14ac:dyDescent="0.2">
      <c r="A5226" t="s">
        <v>4744</v>
      </c>
      <c r="B5226" s="1">
        <v>1372020</v>
      </c>
      <c r="C5226" s="1">
        <v>1600</v>
      </c>
      <c r="D5226" s="2">
        <v>42430</v>
      </c>
      <c r="E5226" s="1" t="s">
        <v>18</v>
      </c>
      <c r="F5226" t="str">
        <f>HYPERLINK("http://www.sec.gov/Archives/edgar/data/1372020/0001564590-16-013760-index.html")</f>
        <v>http://www.sec.gov/Archives/edgar/data/1372020/0001564590-16-013760-index.html</v>
      </c>
    </row>
    <row r="5227" spans="1:6" x14ac:dyDescent="0.2">
      <c r="A5227" t="s">
        <v>4745</v>
      </c>
      <c r="B5227" s="1">
        <v>1405041</v>
      </c>
      <c r="C5227" s="1">
        <v>2860</v>
      </c>
      <c r="D5227" s="2">
        <v>42430</v>
      </c>
      <c r="E5227" s="1" t="s">
        <v>18</v>
      </c>
      <c r="F5227" t="str">
        <f>HYPERLINK("http://www.sec.gov/Archives/edgar/data/1405041/0001624826-16-000031-index.html")</f>
        <v>http://www.sec.gov/Archives/edgar/data/1405041/0001624826-16-000031-index.html</v>
      </c>
    </row>
    <row r="5228" spans="1:6" x14ac:dyDescent="0.2">
      <c r="A5228" t="s">
        <v>4746</v>
      </c>
      <c r="B5228" s="1">
        <v>1412100</v>
      </c>
      <c r="C5228" s="1">
        <v>6331</v>
      </c>
      <c r="D5228" s="2">
        <v>42430</v>
      </c>
      <c r="E5228" s="1" t="s">
        <v>18</v>
      </c>
      <c r="F5228" t="str">
        <f>HYPERLINK("http://www.sec.gov/Archives/edgar/data/1412100/0001412100-16-000132-index.html")</f>
        <v>http://www.sec.gov/Archives/edgar/data/1412100/0001412100-16-000132-index.html</v>
      </c>
    </row>
    <row r="5229" spans="1:6" x14ac:dyDescent="0.2">
      <c r="A5229" t="s">
        <v>4747</v>
      </c>
      <c r="B5229" s="1">
        <v>1412270</v>
      </c>
      <c r="C5229" s="1">
        <v>7200</v>
      </c>
      <c r="D5229" s="2">
        <v>42430</v>
      </c>
      <c r="E5229" s="1" t="s">
        <v>18</v>
      </c>
      <c r="F5229" t="str">
        <f>HYPERLINK("http://www.sec.gov/Archives/edgar/data/1412270/0001412270-16-000034-index.html")</f>
        <v>http://www.sec.gov/Archives/edgar/data/1412270/0001412270-16-000034-index.html</v>
      </c>
    </row>
    <row r="5230" spans="1:6" x14ac:dyDescent="0.2">
      <c r="A5230" t="s">
        <v>4748</v>
      </c>
      <c r="B5230" s="1">
        <v>1434621</v>
      </c>
      <c r="C5230" s="1">
        <v>6163</v>
      </c>
      <c r="D5230" s="2">
        <v>42430</v>
      </c>
      <c r="E5230" s="1" t="s">
        <v>18</v>
      </c>
      <c r="F5230" t="str">
        <f>HYPERLINK("http://www.sec.gov/Archives/edgar/data/1434621/0001434621-16-000052-index.html")</f>
        <v>http://www.sec.gov/Archives/edgar/data/1434621/0001434621-16-000052-index.html</v>
      </c>
    </row>
    <row r="5231" spans="1:6" x14ac:dyDescent="0.2">
      <c r="A5231" t="s">
        <v>4749</v>
      </c>
      <c r="B5231" s="1">
        <v>1445049</v>
      </c>
      <c r="C5231" s="1">
        <v>4911</v>
      </c>
      <c r="D5231" s="2">
        <v>42430</v>
      </c>
      <c r="E5231" s="1" t="s">
        <v>18</v>
      </c>
      <c r="F5231" t="str">
        <f>HYPERLINK("http://www.sec.gov/Archives/edgar/data/1445049/0001445049-16-000016-index.html")</f>
        <v>http://www.sec.gov/Archives/edgar/data/1445049/0001445049-16-000016-index.html</v>
      </c>
    </row>
    <row r="5232" spans="1:6" x14ac:dyDescent="0.2">
      <c r="A5232" t="s">
        <v>4750</v>
      </c>
      <c r="B5232" s="1">
        <v>1445146</v>
      </c>
      <c r="C5232" s="1">
        <v>4911</v>
      </c>
      <c r="D5232" s="2">
        <v>42430</v>
      </c>
      <c r="E5232" s="1" t="s">
        <v>18</v>
      </c>
      <c r="F5232" t="str">
        <f>HYPERLINK("http://www.sec.gov/Archives/edgar/data/1445146/0001445146-16-000019-index.html")</f>
        <v>http://www.sec.gov/Archives/edgar/data/1445146/0001445146-16-000019-index.html</v>
      </c>
    </row>
    <row r="5233" spans="1:6" x14ac:dyDescent="0.2">
      <c r="A5233" t="s">
        <v>4751</v>
      </c>
      <c r="B5233" s="1">
        <v>1445305</v>
      </c>
      <c r="C5233" s="1">
        <v>7372</v>
      </c>
      <c r="D5233" s="2">
        <v>42430</v>
      </c>
      <c r="E5233" s="1" t="s">
        <v>18</v>
      </c>
      <c r="F5233" t="str">
        <f>HYPERLINK("http://www.sec.gov/Archives/edgar/data/1445305/0001445305-16-000085-index.html")</f>
        <v>http://www.sec.gov/Archives/edgar/data/1445305/0001445305-16-000085-index.html</v>
      </c>
    </row>
    <row r="5234" spans="1:6" x14ac:dyDescent="0.2">
      <c r="A5234" t="s">
        <v>4752</v>
      </c>
      <c r="B5234" s="1">
        <v>1463101</v>
      </c>
      <c r="C5234" s="1">
        <v>3674</v>
      </c>
      <c r="D5234" s="2">
        <v>42430</v>
      </c>
      <c r="E5234" s="1" t="s">
        <v>18</v>
      </c>
      <c r="F5234" t="str">
        <f>HYPERLINK("http://www.sec.gov/Archives/edgar/data/1463101/0001463101-16-000040-index.html")</f>
        <v>http://www.sec.gov/Archives/edgar/data/1463101/0001463101-16-000040-index.html</v>
      </c>
    </row>
    <row r="5235" spans="1:6" x14ac:dyDescent="0.2">
      <c r="A5235" t="s">
        <v>4753</v>
      </c>
      <c r="B5235" s="1">
        <v>1488613</v>
      </c>
      <c r="C5235" s="1">
        <v>8071</v>
      </c>
      <c r="D5235" s="2">
        <v>42430</v>
      </c>
      <c r="E5235" s="1" t="s">
        <v>18</v>
      </c>
      <c r="F5235" t="str">
        <f>HYPERLINK("http://www.sec.gov/Archives/edgar/data/1488613/0001193125-16-488186-index.html")</f>
        <v>http://www.sec.gov/Archives/edgar/data/1488613/0001193125-16-488186-index.html</v>
      </c>
    </row>
    <row r="5236" spans="1:6" x14ac:dyDescent="0.2">
      <c r="A5236" t="s">
        <v>4754</v>
      </c>
      <c r="B5236" s="1">
        <v>1512138</v>
      </c>
      <c r="C5236" s="1">
        <v>3841</v>
      </c>
      <c r="D5236" s="2">
        <v>42430</v>
      </c>
      <c r="E5236" s="1" t="s">
        <v>18</v>
      </c>
      <c r="F5236" t="str">
        <f>HYPERLINK("http://www.sec.gov/Archives/edgar/data/1512138/0001193125-16-488100-index.html")</f>
        <v>http://www.sec.gov/Archives/edgar/data/1512138/0001193125-16-488100-index.html</v>
      </c>
    </row>
    <row r="5237" spans="1:6" x14ac:dyDescent="0.2">
      <c r="A5237" t="s">
        <v>4755</v>
      </c>
      <c r="B5237" s="1">
        <v>1520566</v>
      </c>
      <c r="C5237" s="1">
        <v>6162</v>
      </c>
      <c r="D5237" s="2">
        <v>42430</v>
      </c>
      <c r="E5237" s="1" t="s">
        <v>18</v>
      </c>
      <c r="F5237" t="str">
        <f>HYPERLINK("http://www.sec.gov/Archives/edgar/data/1520566/0001628280-16-012098-index.html")</f>
        <v>http://www.sec.gov/Archives/edgar/data/1520566/0001628280-16-012098-index.html</v>
      </c>
    </row>
    <row r="5238" spans="1:6" x14ac:dyDescent="0.2">
      <c r="A5238" t="s">
        <v>4756</v>
      </c>
      <c r="B5238" s="1">
        <v>1526113</v>
      </c>
      <c r="C5238" s="1">
        <v>6798</v>
      </c>
      <c r="D5238" s="2">
        <v>42430</v>
      </c>
      <c r="E5238" s="1" t="s">
        <v>18</v>
      </c>
      <c r="F5238" t="str">
        <f>HYPERLINK("http://www.sec.gov/Archives/edgar/data/1526113/0001526113-16-000014-index.html")</f>
        <v>http://www.sec.gov/Archives/edgar/data/1526113/0001526113-16-000014-index.html</v>
      </c>
    </row>
    <row r="5239" spans="1:6" x14ac:dyDescent="0.2">
      <c r="A5239" t="s">
        <v>4757</v>
      </c>
      <c r="B5239" s="1">
        <v>1529377</v>
      </c>
      <c r="C5239" s="1">
        <v>6798</v>
      </c>
      <c r="D5239" s="2">
        <v>42430</v>
      </c>
      <c r="E5239" s="1" t="s">
        <v>18</v>
      </c>
      <c r="F5239" t="str">
        <f>HYPERLINK("http://www.sec.gov/Archives/edgar/data/1529377/0001047469-16-010605-index.html")</f>
        <v>http://www.sec.gov/Archives/edgar/data/1529377/0001047469-16-010605-index.html</v>
      </c>
    </row>
    <row r="5240" spans="1:6" x14ac:dyDescent="0.2">
      <c r="A5240" t="s">
        <v>4758</v>
      </c>
      <c r="B5240" s="1">
        <v>1547355</v>
      </c>
      <c r="C5240" s="1">
        <v>2510</v>
      </c>
      <c r="D5240" s="2">
        <v>42430</v>
      </c>
      <c r="E5240" s="1" t="s">
        <v>18</v>
      </c>
      <c r="F5240" t="str">
        <f>HYPERLINK("http://www.sec.gov/Archives/edgar/data/1547355/0001640334-16-000757-index.html")</f>
        <v>http://www.sec.gov/Archives/edgar/data/1547355/0001640334-16-000757-index.html</v>
      </c>
    </row>
    <row r="5241" spans="1:6" x14ac:dyDescent="0.2">
      <c r="A5241" t="s">
        <v>4759</v>
      </c>
      <c r="B5241" s="1">
        <v>1561894</v>
      </c>
      <c r="C5241" s="1">
        <v>6798</v>
      </c>
      <c r="D5241" s="2">
        <v>42430</v>
      </c>
      <c r="E5241" s="1" t="s">
        <v>18</v>
      </c>
      <c r="F5241" t="str">
        <f>HYPERLINK("http://www.sec.gov/Archives/edgar/data/1561894/0001193125-16-486646-index.html")</f>
        <v>http://www.sec.gov/Archives/edgar/data/1561894/0001193125-16-486646-index.html</v>
      </c>
    </row>
    <row r="5242" spans="1:6" x14ac:dyDescent="0.2">
      <c r="A5242" t="s">
        <v>4760</v>
      </c>
      <c r="B5242" s="1">
        <v>1580808</v>
      </c>
      <c r="C5242" s="1">
        <v>3576</v>
      </c>
      <c r="D5242" s="2">
        <v>42430</v>
      </c>
      <c r="E5242" s="1" t="s">
        <v>18</v>
      </c>
      <c r="F5242" t="str">
        <f>HYPERLINK("http://www.sec.gov/Archives/edgar/data/1580808/0001580808-16-000073-index.html")</f>
        <v>http://www.sec.gov/Archives/edgar/data/1580808/0001580808-16-000073-index.html</v>
      </c>
    </row>
    <row r="5243" spans="1:6" x14ac:dyDescent="0.2">
      <c r="A5243" t="s">
        <v>4761</v>
      </c>
      <c r="B5243" s="1">
        <v>1586049</v>
      </c>
      <c r="C5243" s="1">
        <v>2835</v>
      </c>
      <c r="D5243" s="2">
        <v>42430</v>
      </c>
      <c r="E5243" s="1" t="s">
        <v>18</v>
      </c>
      <c r="F5243" t="str">
        <f>HYPERLINK("http://www.sec.gov/Archives/edgar/data/1586049/0001437749-16-026453-index.html")</f>
        <v>http://www.sec.gov/Archives/edgar/data/1586049/0001437749-16-026453-index.html</v>
      </c>
    </row>
    <row r="5244" spans="1:6" x14ac:dyDescent="0.2">
      <c r="A5244" t="s">
        <v>4762</v>
      </c>
      <c r="B5244" s="1">
        <v>1608298</v>
      </c>
      <c r="C5244" s="1">
        <v>6770</v>
      </c>
      <c r="D5244" s="2">
        <v>42430</v>
      </c>
      <c r="E5244" s="1" t="s">
        <v>18</v>
      </c>
      <c r="F5244" t="str">
        <f>HYPERLINK("http://www.sec.gov/Archives/edgar/data/1608298/0001144204-16-085333-index.html")</f>
        <v>http://www.sec.gov/Archives/edgar/data/1608298/0001144204-16-085333-index.html</v>
      </c>
    </row>
    <row r="5245" spans="1:6" x14ac:dyDescent="0.2">
      <c r="A5245" t="s">
        <v>4763</v>
      </c>
      <c r="B5245" s="1">
        <v>1616101</v>
      </c>
      <c r="C5245" s="1">
        <v>3842</v>
      </c>
      <c r="D5245" s="2">
        <v>42430</v>
      </c>
      <c r="E5245" s="1" t="s">
        <v>18</v>
      </c>
      <c r="F5245" t="str">
        <f>HYPERLINK("http://www.sec.gov/Archives/edgar/data/1616101/0001616101-16-000012-index.html")</f>
        <v>http://www.sec.gov/Archives/edgar/data/1616101/0001616101-16-000012-index.html</v>
      </c>
    </row>
    <row r="5246" spans="1:6" x14ac:dyDescent="0.2">
      <c r="A5246" t="s">
        <v>4764</v>
      </c>
      <c r="B5246" s="1">
        <v>1619239</v>
      </c>
      <c r="C5246" s="1">
        <v>5812</v>
      </c>
      <c r="D5246" s="2">
        <v>42430</v>
      </c>
      <c r="E5246" s="1" t="s">
        <v>18</v>
      </c>
      <c r="F5246" t="str">
        <f>HYPERLINK("http://www.sec.gov/Archives/edgar/data/1619239/0001193125-16-488042-index.html")</f>
        <v>http://www.sec.gov/Archives/edgar/data/1619239/0001193125-16-488042-index.html</v>
      </c>
    </row>
    <row r="5247" spans="1:6" x14ac:dyDescent="0.2">
      <c r="A5247" t="s">
        <v>4765</v>
      </c>
      <c r="B5247" s="1">
        <v>1624826</v>
      </c>
      <c r="C5247" s="1">
        <v>2821</v>
      </c>
      <c r="D5247" s="2">
        <v>42430</v>
      </c>
      <c r="E5247" s="1" t="s">
        <v>18</v>
      </c>
      <c r="F5247" t="str">
        <f>HYPERLINK("http://www.sec.gov/Archives/edgar/data/1624826/0001624826-16-000031-index.html")</f>
        <v>http://www.sec.gov/Archives/edgar/data/1624826/0001624826-16-000031-index.html</v>
      </c>
    </row>
    <row r="5248" spans="1:6" x14ac:dyDescent="0.2">
      <c r="A5248" t="s">
        <v>4766</v>
      </c>
      <c r="B5248" s="1">
        <v>1628175</v>
      </c>
      <c r="C5248" s="1">
        <v>6770</v>
      </c>
      <c r="D5248" s="2">
        <v>42430</v>
      </c>
      <c r="E5248" s="1" t="s">
        <v>18</v>
      </c>
      <c r="F5248" t="str">
        <f>HYPERLINK("http://www.sec.gov/Archives/edgar/data/1628175/0001493152-16-007742-index.html")</f>
        <v>http://www.sec.gov/Archives/edgar/data/1628175/0001493152-16-007742-index.html</v>
      </c>
    </row>
    <row r="5249" spans="1:6" x14ac:dyDescent="0.2">
      <c r="A5249" t="s">
        <v>4767</v>
      </c>
      <c r="B5249" s="1">
        <v>1633142</v>
      </c>
      <c r="C5249" s="1">
        <v>8742</v>
      </c>
      <c r="D5249" s="2">
        <v>42430</v>
      </c>
      <c r="E5249" s="1" t="s">
        <v>18</v>
      </c>
      <c r="F5249" t="str">
        <f>HYPERLINK("http://www.sec.gov/Archives/edgar/data/1633142/0001558370-16-003742-index.html")</f>
        <v>http://www.sec.gov/Archives/edgar/data/1633142/0001558370-16-003742-index.html</v>
      </c>
    </row>
    <row r="5250" spans="1:6" x14ac:dyDescent="0.2">
      <c r="A5250" t="s">
        <v>4768</v>
      </c>
      <c r="B5250" s="1">
        <v>1634942</v>
      </c>
      <c r="C5250" s="1">
        <v>7372</v>
      </c>
      <c r="D5250" s="2">
        <v>42430</v>
      </c>
      <c r="E5250" s="1" t="s">
        <v>18</v>
      </c>
      <c r="F5250" t="str">
        <f>HYPERLINK("http://www.sec.gov/Archives/edgar/data/1634942/0001640334-16-000753-index.html")</f>
        <v>http://www.sec.gov/Archives/edgar/data/1634942/0001640334-16-000753-index.html</v>
      </c>
    </row>
    <row r="5251" spans="1:6" x14ac:dyDescent="0.2">
      <c r="A5251" t="s">
        <v>4769</v>
      </c>
      <c r="B5251" s="1">
        <v>1635581</v>
      </c>
      <c r="C5251" s="1">
        <v>4911</v>
      </c>
      <c r="D5251" s="2">
        <v>42430</v>
      </c>
      <c r="E5251" s="1" t="s">
        <v>400</v>
      </c>
      <c r="F5251" t="str">
        <f>HYPERLINK("http://www.sec.gov/Archives/edgar/data/1635581/0001564590-16-013762-index.html")</f>
        <v>http://www.sec.gov/Archives/edgar/data/1635581/0001564590-16-013762-index.html</v>
      </c>
    </row>
    <row r="5252" spans="1:6" x14ac:dyDescent="0.2">
      <c r="A5252" t="s">
        <v>4770</v>
      </c>
      <c r="B5252" s="1">
        <v>1637655</v>
      </c>
      <c r="C5252" s="1">
        <v>3714</v>
      </c>
      <c r="D5252" s="2">
        <v>42430</v>
      </c>
      <c r="E5252" s="1" t="s">
        <v>18</v>
      </c>
      <c r="F5252" t="str">
        <f>HYPERLINK("http://www.sec.gov/Archives/edgar/data/1637655/0001637655-16-000083-index.html")</f>
        <v>http://www.sec.gov/Archives/edgar/data/1637655/0001637655-16-000083-index.html</v>
      </c>
    </row>
    <row r="5253" spans="1:6" x14ac:dyDescent="0.2">
      <c r="A5253" t="s">
        <v>4771</v>
      </c>
      <c r="B5253" s="1">
        <v>1645113</v>
      </c>
      <c r="C5253" s="1">
        <v>3841</v>
      </c>
      <c r="D5253" s="2">
        <v>42430</v>
      </c>
      <c r="E5253" s="1" t="s">
        <v>18</v>
      </c>
      <c r="F5253" t="str">
        <f>HYPERLINK("http://www.sec.gov/Archives/edgar/data/1645113/0001564590-16-013777-index.html")</f>
        <v>http://www.sec.gov/Archives/edgar/data/1645113/0001564590-16-013777-index.html</v>
      </c>
    </row>
    <row r="5254" spans="1:6" x14ac:dyDescent="0.2">
      <c r="A5254" t="s">
        <v>4772</v>
      </c>
      <c r="B5254" s="1">
        <v>1648087</v>
      </c>
      <c r="C5254" s="1">
        <v>3089</v>
      </c>
      <c r="D5254" s="2">
        <v>42430</v>
      </c>
      <c r="E5254" s="1" t="s">
        <v>18</v>
      </c>
      <c r="F5254" t="str">
        <f>HYPERLINK("http://www.sec.gov/Archives/edgar/data/1648087/0001078782-16-002375-index.html")</f>
        <v>http://www.sec.gov/Archives/edgar/data/1648087/0001078782-16-002375-index.html</v>
      </c>
    </row>
    <row r="5255" spans="1:6" x14ac:dyDescent="0.2">
      <c r="A5255" t="s">
        <v>4773</v>
      </c>
      <c r="B5255" s="1">
        <v>23795</v>
      </c>
      <c r="C5255" s="1">
        <v>6500</v>
      </c>
      <c r="D5255" s="2">
        <v>42430</v>
      </c>
      <c r="E5255" s="1" t="s">
        <v>18</v>
      </c>
      <c r="F5255" t="str">
        <f>HYPERLINK("http://www.sec.gov/Archives/edgar/data/23795/0001564590-16-013810-index.html")</f>
        <v>http://www.sec.gov/Archives/edgar/data/23795/0001564590-16-013810-index.html</v>
      </c>
    </row>
    <row r="5256" spans="1:6" x14ac:dyDescent="0.2">
      <c r="A5256" t="s">
        <v>4774</v>
      </c>
      <c r="B5256" s="1">
        <v>31791</v>
      </c>
      <c r="C5256" s="1">
        <v>3826</v>
      </c>
      <c r="D5256" s="2">
        <v>42430</v>
      </c>
      <c r="E5256" s="1" t="s">
        <v>18</v>
      </c>
      <c r="F5256" t="str">
        <f>HYPERLINK("http://www.sec.gov/Archives/edgar/data/31791/0000031791-16-000014-index.html")</f>
        <v>http://www.sec.gov/Archives/edgar/data/31791/0000031791-16-000014-index.html</v>
      </c>
    </row>
    <row r="5257" spans="1:6" x14ac:dyDescent="0.2">
      <c r="A5257" t="s">
        <v>4775</v>
      </c>
      <c r="B5257" s="1">
        <v>352363</v>
      </c>
      <c r="C5257" s="1">
        <v>2330</v>
      </c>
      <c r="D5257" s="2">
        <v>42430</v>
      </c>
      <c r="E5257" s="1" t="s">
        <v>18</v>
      </c>
      <c r="F5257" t="str">
        <f>HYPERLINK("http://www.sec.gov/Archives/edgar/data/352363/0001047469-16-010621-index.html")</f>
        <v>http://www.sec.gov/Archives/edgar/data/352363/0001047469-16-010621-index.html</v>
      </c>
    </row>
    <row r="5258" spans="1:6" x14ac:dyDescent="0.2">
      <c r="A5258" t="s">
        <v>4776</v>
      </c>
      <c r="B5258" s="1">
        <v>352825</v>
      </c>
      <c r="C5258" s="1">
        <v>5051</v>
      </c>
      <c r="D5258" s="2">
        <v>42430</v>
      </c>
      <c r="E5258" s="1" t="s">
        <v>18</v>
      </c>
      <c r="F5258" t="str">
        <f>HYPERLINK("http://www.sec.gov/Archives/edgar/data/352825/0001193125-16-487797-index.html")</f>
        <v>http://www.sec.gov/Archives/edgar/data/352825/0001193125-16-487797-index.html</v>
      </c>
    </row>
    <row r="5259" spans="1:6" x14ac:dyDescent="0.2">
      <c r="A5259" t="s">
        <v>4777</v>
      </c>
      <c r="B5259" s="1">
        <v>51253</v>
      </c>
      <c r="C5259" s="1">
        <v>2860</v>
      </c>
      <c r="D5259" s="2">
        <v>42430</v>
      </c>
      <c r="E5259" s="1" t="s">
        <v>18</v>
      </c>
      <c r="F5259" t="str">
        <f>HYPERLINK("http://www.sec.gov/Archives/edgar/data/51253/0000051253-16-000026-index.html")</f>
        <v>http://www.sec.gov/Archives/edgar/data/51253/0000051253-16-000026-index.html</v>
      </c>
    </row>
    <row r="5260" spans="1:6" x14ac:dyDescent="0.2">
      <c r="A5260" t="s">
        <v>4778</v>
      </c>
      <c r="B5260" s="1">
        <v>57528</v>
      </c>
      <c r="C5260" s="1">
        <v>2052</v>
      </c>
      <c r="D5260" s="2">
        <v>42430</v>
      </c>
      <c r="E5260" s="1" t="s">
        <v>18</v>
      </c>
      <c r="F5260" t="str">
        <f>HYPERLINK("http://www.sec.gov/Archives/edgar/data/57528/0000057528-16-000032-index.html")</f>
        <v>http://www.sec.gov/Archives/edgar/data/57528/0000057528-16-000032-index.html</v>
      </c>
    </row>
    <row r="5261" spans="1:6" x14ac:dyDescent="0.2">
      <c r="A5261" t="s">
        <v>4779</v>
      </c>
      <c r="B5261" s="1">
        <v>68622</v>
      </c>
      <c r="C5261" s="1">
        <v>4813</v>
      </c>
      <c r="D5261" s="2">
        <v>42430</v>
      </c>
      <c r="E5261" s="1" t="s">
        <v>18</v>
      </c>
      <c r="F5261" t="str">
        <f>HYPERLINK("http://www.sec.gov/Archives/edgar/data/68622/0000068622-16-000013-index.html")</f>
        <v>http://www.sec.gov/Archives/edgar/data/68622/0000068622-16-000013-index.html</v>
      </c>
    </row>
    <row r="5262" spans="1:6" x14ac:dyDescent="0.2">
      <c r="A5262" t="s">
        <v>4780</v>
      </c>
      <c r="B5262" s="1">
        <v>703329</v>
      </c>
      <c r="C5262" s="1">
        <v>6022</v>
      </c>
      <c r="D5262" s="2">
        <v>42430</v>
      </c>
      <c r="E5262" s="1" t="s">
        <v>18</v>
      </c>
      <c r="F5262" t="str">
        <f>HYPERLINK("http://www.sec.gov/Archives/edgar/data/703329/0001003297-16-000604-index.html")</f>
        <v>http://www.sec.gov/Archives/edgar/data/703329/0001003297-16-000604-index.html</v>
      </c>
    </row>
    <row r="5263" spans="1:6" x14ac:dyDescent="0.2">
      <c r="A5263" t="s">
        <v>4781</v>
      </c>
      <c r="B5263" s="1">
        <v>707388</v>
      </c>
      <c r="C5263" s="1">
        <v>3845</v>
      </c>
      <c r="D5263" s="2">
        <v>42430</v>
      </c>
      <c r="E5263" s="1" t="s">
        <v>18</v>
      </c>
      <c r="F5263" t="str">
        <f>HYPERLINK("http://www.sec.gov/Archives/edgar/data/707388/0000707388-16-000066-index.html")</f>
        <v>http://www.sec.gov/Archives/edgar/data/707388/0000707388-16-000066-index.html</v>
      </c>
    </row>
    <row r="5264" spans="1:6" x14ac:dyDescent="0.2">
      <c r="A5264" t="s">
        <v>1361</v>
      </c>
      <c r="B5264" s="1">
        <v>720672</v>
      </c>
      <c r="C5264" s="1">
        <v>6211</v>
      </c>
      <c r="D5264" s="2">
        <v>42430</v>
      </c>
      <c r="E5264" s="1" t="s">
        <v>18</v>
      </c>
      <c r="F5264" t="str">
        <f>HYPERLINK("http://www.sec.gov/Archives/edgar/data/720672/0001564590-16-013780-index.html")</f>
        <v>http://www.sec.gov/Archives/edgar/data/720672/0001564590-16-013780-index.html</v>
      </c>
    </row>
    <row r="5265" spans="1:6" x14ac:dyDescent="0.2">
      <c r="A5265" t="s">
        <v>4782</v>
      </c>
      <c r="B5265" s="1">
        <v>74303</v>
      </c>
      <c r="C5265" s="1">
        <v>2800</v>
      </c>
      <c r="D5265" s="2">
        <v>42430</v>
      </c>
      <c r="E5265" s="1" t="s">
        <v>18</v>
      </c>
      <c r="F5265" t="str">
        <f>HYPERLINK("http://www.sec.gov/Archives/edgar/data/74303/0000074303-16-000090-index.html")</f>
        <v>http://www.sec.gov/Archives/edgar/data/74303/0000074303-16-000090-index.html</v>
      </c>
    </row>
    <row r="5266" spans="1:6" x14ac:dyDescent="0.2">
      <c r="A5266" t="s">
        <v>4783</v>
      </c>
      <c r="B5266" s="1">
        <v>744455</v>
      </c>
      <c r="C5266" s="1">
        <v>3674</v>
      </c>
      <c r="D5266" s="2">
        <v>42430</v>
      </c>
      <c r="E5266" s="1" t="s">
        <v>18</v>
      </c>
      <c r="F5266" t="str">
        <f>HYPERLINK("http://www.sec.gov/Archives/edgar/data/744455/0000744455-16-000036-index.html")</f>
        <v>http://www.sec.gov/Archives/edgar/data/744455/0000744455-16-000036-index.html</v>
      </c>
    </row>
    <row r="5267" spans="1:6" x14ac:dyDescent="0.2">
      <c r="A5267" t="s">
        <v>4784</v>
      </c>
      <c r="B5267" s="1">
        <v>75208</v>
      </c>
      <c r="C5267" s="1">
        <v>4412</v>
      </c>
      <c r="D5267" s="2">
        <v>42430</v>
      </c>
      <c r="E5267" s="1" t="s">
        <v>18</v>
      </c>
      <c r="F5267" t="str">
        <f>HYPERLINK("http://www.sec.gov/Archives/edgar/data/75208/0001144204-16-085131-index.html")</f>
        <v>http://www.sec.gov/Archives/edgar/data/75208/0001144204-16-085131-index.html</v>
      </c>
    </row>
    <row r="5268" spans="1:6" x14ac:dyDescent="0.2">
      <c r="A5268" t="s">
        <v>4785</v>
      </c>
      <c r="B5268" s="1">
        <v>81061</v>
      </c>
      <c r="C5268" s="1">
        <v>5411</v>
      </c>
      <c r="D5268" s="2">
        <v>42430</v>
      </c>
      <c r="E5268" s="1" t="s">
        <v>18</v>
      </c>
      <c r="F5268" t="str">
        <f>HYPERLINK("http://www.sec.gov/Archives/edgar/data/81061/0000081061-16-000041-index.html")</f>
        <v>http://www.sec.gov/Archives/edgar/data/81061/0000081061-16-000041-index.html</v>
      </c>
    </row>
    <row r="5269" spans="1:6" x14ac:dyDescent="0.2">
      <c r="A5269" t="s">
        <v>4786</v>
      </c>
      <c r="B5269" s="1">
        <v>827187</v>
      </c>
      <c r="C5269" s="1">
        <v>2510</v>
      </c>
      <c r="D5269" s="2">
        <v>42430</v>
      </c>
      <c r="E5269" s="1" t="s">
        <v>18</v>
      </c>
      <c r="F5269" t="str">
        <f>HYPERLINK("http://www.sec.gov/Archives/edgar/data/827187/0000827187-16-000073-index.html")</f>
        <v>http://www.sec.gov/Archives/edgar/data/827187/0000827187-16-000073-index.html</v>
      </c>
    </row>
    <row r="5270" spans="1:6" x14ac:dyDescent="0.2">
      <c r="A5270" t="s">
        <v>4787</v>
      </c>
      <c r="B5270" s="1">
        <v>860413</v>
      </c>
      <c r="C5270" s="1">
        <v>6022</v>
      </c>
      <c r="D5270" s="2">
        <v>42430</v>
      </c>
      <c r="E5270" s="1" t="s">
        <v>18</v>
      </c>
      <c r="F5270" t="str">
        <f>HYPERLINK("http://www.sec.gov/Archives/edgar/data/860413/0000860413-16-000032-index.html")</f>
        <v>http://www.sec.gov/Archives/edgar/data/860413/0000860413-16-000032-index.html</v>
      </c>
    </row>
    <row r="5271" spans="1:6" x14ac:dyDescent="0.2">
      <c r="A5271" t="s">
        <v>4788</v>
      </c>
      <c r="B5271" s="1">
        <v>889331</v>
      </c>
      <c r="C5271" s="1">
        <v>3613</v>
      </c>
      <c r="D5271" s="2">
        <v>42430</v>
      </c>
      <c r="E5271" s="1" t="s">
        <v>18</v>
      </c>
      <c r="F5271" t="str">
        <f>HYPERLINK("http://www.sec.gov/Archives/edgar/data/889331/0001437749-16-026441-index.html")</f>
        <v>http://www.sec.gov/Archives/edgar/data/889331/0001437749-16-026441-index.html</v>
      </c>
    </row>
    <row r="5272" spans="1:6" x14ac:dyDescent="0.2">
      <c r="A5272" t="s">
        <v>4789</v>
      </c>
      <c r="B5272" s="1">
        <v>896264</v>
      </c>
      <c r="C5272" s="1">
        <v>2833</v>
      </c>
      <c r="D5272" s="2">
        <v>42430</v>
      </c>
      <c r="E5272" s="1" t="s">
        <v>18</v>
      </c>
      <c r="F5272" t="str">
        <f>HYPERLINK("http://www.sec.gov/Archives/edgar/data/896264/0001047469-16-010629-index.html")</f>
        <v>http://www.sec.gov/Archives/edgar/data/896264/0001047469-16-010629-index.html</v>
      </c>
    </row>
    <row r="5273" spans="1:6" x14ac:dyDescent="0.2">
      <c r="A5273" t="s">
        <v>4790</v>
      </c>
      <c r="B5273" s="1">
        <v>906709</v>
      </c>
      <c r="C5273" s="1">
        <v>2834</v>
      </c>
      <c r="D5273" s="2">
        <v>42430</v>
      </c>
      <c r="E5273" s="1" t="s">
        <v>18</v>
      </c>
      <c r="F5273" t="str">
        <f>HYPERLINK("http://www.sec.gov/Archives/edgar/data/906709/0001564590-16-013759-index.html")</f>
        <v>http://www.sec.gov/Archives/edgar/data/906709/0001564590-16-013759-index.html</v>
      </c>
    </row>
    <row r="5274" spans="1:6" x14ac:dyDescent="0.2">
      <c r="A5274" t="s">
        <v>4791</v>
      </c>
      <c r="B5274" s="1">
        <v>916540</v>
      </c>
      <c r="C5274" s="1">
        <v>2070</v>
      </c>
      <c r="D5274" s="2">
        <v>42430</v>
      </c>
      <c r="E5274" s="1" t="s">
        <v>18</v>
      </c>
      <c r="F5274" t="str">
        <f>HYPERLINK("http://www.sec.gov/Archives/edgar/data/916540/0000916540-16-000038-index.html")</f>
        <v>http://www.sec.gov/Archives/edgar/data/916540/0000916540-16-000038-index.html</v>
      </c>
    </row>
    <row r="5275" spans="1:6" x14ac:dyDescent="0.2">
      <c r="A5275" t="s">
        <v>4792</v>
      </c>
      <c r="B5275" s="1">
        <v>920148</v>
      </c>
      <c r="C5275" s="1">
        <v>8071</v>
      </c>
      <c r="D5275" s="2">
        <v>42430</v>
      </c>
      <c r="E5275" s="1" t="s">
        <v>42</v>
      </c>
      <c r="F5275" t="str">
        <f>HYPERLINK("http://www.sec.gov/Archives/edgar/data/920148/0000920148-16-000165-index.html")</f>
        <v>http://www.sec.gov/Archives/edgar/data/920148/0000920148-16-000165-index.html</v>
      </c>
    </row>
    <row r="5276" spans="1:6" x14ac:dyDescent="0.2">
      <c r="A5276" t="s">
        <v>4793</v>
      </c>
      <c r="B5276" s="1">
        <v>1000694</v>
      </c>
      <c r="C5276" s="1">
        <v>2836</v>
      </c>
      <c r="D5276" s="2">
        <v>42429</v>
      </c>
      <c r="E5276" s="1" t="s">
        <v>18</v>
      </c>
      <c r="F5276" t="str">
        <f>HYPERLINK("http://www.sec.gov/Archives/edgar/data/1000694/0001144204-16-084770-index.html")</f>
        <v>http://www.sec.gov/Archives/edgar/data/1000694/0001144204-16-084770-index.html</v>
      </c>
    </row>
    <row r="5277" spans="1:6" x14ac:dyDescent="0.2">
      <c r="A5277" t="s">
        <v>4794</v>
      </c>
      <c r="B5277" s="1">
        <v>1001288</v>
      </c>
      <c r="C5277" s="1">
        <v>3570</v>
      </c>
      <c r="D5277" s="2">
        <v>42429</v>
      </c>
      <c r="E5277" s="1" t="s">
        <v>18</v>
      </c>
      <c r="F5277" t="str">
        <f>HYPERLINK("http://www.sec.gov/Archives/edgar/data/1001288/0001001288-16-000062-index.html")</f>
        <v>http://www.sec.gov/Archives/edgar/data/1001288/0001001288-16-000062-index.html</v>
      </c>
    </row>
    <row r="5278" spans="1:6" x14ac:dyDescent="0.2">
      <c r="A5278" t="s">
        <v>4795</v>
      </c>
      <c r="B5278" s="1">
        <v>1005757</v>
      </c>
      <c r="C5278" s="1">
        <v>7374</v>
      </c>
      <c r="D5278" s="2">
        <v>42429</v>
      </c>
      <c r="E5278" s="1" t="s">
        <v>18</v>
      </c>
      <c r="F5278" t="str">
        <f>HYPERLINK("http://www.sec.gov/Archives/edgar/data/1005757/0001564590-16-013598-index.html")</f>
        <v>http://www.sec.gov/Archives/edgar/data/1005757/0001564590-16-013598-index.html</v>
      </c>
    </row>
    <row r="5279" spans="1:6" x14ac:dyDescent="0.2">
      <c r="A5279" t="s">
        <v>4796</v>
      </c>
      <c r="B5279" s="1">
        <v>1006269</v>
      </c>
      <c r="C5279" s="1">
        <v>3663</v>
      </c>
      <c r="D5279" s="2">
        <v>42429</v>
      </c>
      <c r="E5279" s="1" t="s">
        <v>18</v>
      </c>
      <c r="F5279" t="str">
        <f>HYPERLINK("http://www.sec.gov/Archives/edgar/data/1006269/0001144204-16-084790-index.html")</f>
        <v>http://www.sec.gov/Archives/edgar/data/1006269/0001144204-16-084790-index.html</v>
      </c>
    </row>
    <row r="5280" spans="1:6" x14ac:dyDescent="0.2">
      <c r="A5280" t="s">
        <v>4797</v>
      </c>
      <c r="B5280" s="1">
        <v>1008848</v>
      </c>
      <c r="C5280" s="1">
        <v>2836</v>
      </c>
      <c r="D5280" s="2">
        <v>42429</v>
      </c>
      <c r="E5280" s="1" t="s">
        <v>18</v>
      </c>
      <c r="F5280" t="str">
        <f>HYPERLINK("http://www.sec.gov/Archives/edgar/data/1008848/0001008848-16-000076-index.html")</f>
        <v>http://www.sec.gov/Archives/edgar/data/1008848/0001008848-16-000076-index.html</v>
      </c>
    </row>
    <row r="5281" spans="1:6" x14ac:dyDescent="0.2">
      <c r="A5281" t="s">
        <v>4798</v>
      </c>
      <c r="B5281" s="1">
        <v>1009672</v>
      </c>
      <c r="C5281" s="1">
        <v>3290</v>
      </c>
      <c r="D5281" s="2">
        <v>42429</v>
      </c>
      <c r="E5281" s="1" t="s">
        <v>18</v>
      </c>
      <c r="F5281" t="str">
        <f>HYPERLINK("http://www.sec.gov/Archives/edgar/data/1009672/0001193125-16-482830-index.html")</f>
        <v>http://www.sec.gov/Archives/edgar/data/1009672/0001193125-16-482830-index.html</v>
      </c>
    </row>
    <row r="5282" spans="1:6" x14ac:dyDescent="0.2">
      <c r="A5282" t="s">
        <v>4799</v>
      </c>
      <c r="B5282" s="1">
        <v>1010552</v>
      </c>
      <c r="C5282" s="1">
        <v>3661</v>
      </c>
      <c r="D5282" s="2">
        <v>42429</v>
      </c>
      <c r="E5282" s="1" t="s">
        <v>18</v>
      </c>
      <c r="F5282" t="str">
        <f>HYPERLINK("http://www.sec.gov/Archives/edgar/data/1010552/0001564590-16-013635-index.html")</f>
        <v>http://www.sec.gov/Archives/edgar/data/1010552/0001564590-16-013635-index.html</v>
      </c>
    </row>
    <row r="5283" spans="1:6" x14ac:dyDescent="0.2">
      <c r="A5283" t="s">
        <v>4800</v>
      </c>
      <c r="B5283" s="1">
        <v>1010612</v>
      </c>
      <c r="C5283" s="1">
        <v>7373</v>
      </c>
      <c r="D5283" s="2">
        <v>42429</v>
      </c>
      <c r="E5283" s="1" t="s">
        <v>18</v>
      </c>
      <c r="F5283" t="str">
        <f>HYPERLINK("http://www.sec.gov/Archives/edgar/data/1010612/0001193125-16-485321-index.html")</f>
        <v>http://www.sec.gov/Archives/edgar/data/1010612/0001193125-16-485321-index.html</v>
      </c>
    </row>
    <row r="5284" spans="1:6" x14ac:dyDescent="0.2">
      <c r="A5284" t="s">
        <v>4801</v>
      </c>
      <c r="B5284" s="1">
        <v>1011006</v>
      </c>
      <c r="C5284" s="1">
        <v>7373</v>
      </c>
      <c r="D5284" s="2">
        <v>42429</v>
      </c>
      <c r="E5284" s="1" t="s">
        <v>18</v>
      </c>
      <c r="F5284" t="str">
        <f>HYPERLINK("http://www.sec.gov/Archives/edgar/data/1011006/0001193125-16-483790-index.html")</f>
        <v>http://www.sec.gov/Archives/edgar/data/1011006/0001193125-16-483790-index.html</v>
      </c>
    </row>
    <row r="5285" spans="1:6" x14ac:dyDescent="0.2">
      <c r="A5285" t="s">
        <v>4802</v>
      </c>
      <c r="B5285" s="1">
        <v>1011570</v>
      </c>
      <c r="C5285" s="1">
        <v>2590</v>
      </c>
      <c r="D5285" s="2">
        <v>42429</v>
      </c>
      <c r="E5285" s="1" t="s">
        <v>18</v>
      </c>
      <c r="F5285" t="str">
        <f>HYPERLINK("http://www.sec.gov/Archives/edgar/data/1011570/0001011570-16-000063-index.html")</f>
        <v>http://www.sec.gov/Archives/edgar/data/1011570/0001011570-16-000063-index.html</v>
      </c>
    </row>
    <row r="5286" spans="1:6" x14ac:dyDescent="0.2">
      <c r="A5286" t="s">
        <v>4803</v>
      </c>
      <c r="B5286" s="1">
        <v>1011659</v>
      </c>
      <c r="C5286" s="1">
        <v>6021</v>
      </c>
      <c r="D5286" s="2">
        <v>42429</v>
      </c>
      <c r="E5286" s="1" t="s">
        <v>18</v>
      </c>
      <c r="F5286" t="str">
        <f>HYPERLINK("http://www.sec.gov/Archives/edgar/data/1011659/0001628280-16-011998-index.html")</f>
        <v>http://www.sec.gov/Archives/edgar/data/1011659/0001628280-16-011998-index.html</v>
      </c>
    </row>
    <row r="5287" spans="1:6" x14ac:dyDescent="0.2">
      <c r="A5287" t="s">
        <v>4804</v>
      </c>
      <c r="B5287" s="1">
        <v>1012019</v>
      </c>
      <c r="C5287" s="1">
        <v>5500</v>
      </c>
      <c r="D5287" s="2">
        <v>42429</v>
      </c>
      <c r="E5287" s="1" t="s">
        <v>18</v>
      </c>
      <c r="F5287" t="str">
        <f>HYPERLINK("http://www.sec.gov/Archives/edgar/data/1012019/0001437749-16-026385-index.html")</f>
        <v>http://www.sec.gov/Archives/edgar/data/1012019/0001437749-16-026385-index.html</v>
      </c>
    </row>
    <row r="5288" spans="1:6" x14ac:dyDescent="0.2">
      <c r="A5288" t="s">
        <v>4805</v>
      </c>
      <c r="B5288" s="1">
        <v>1012569</v>
      </c>
      <c r="C5288" s="1">
        <v>4922</v>
      </c>
      <c r="D5288" s="2">
        <v>42429</v>
      </c>
      <c r="E5288" s="1" t="s">
        <v>18</v>
      </c>
      <c r="F5288" t="str">
        <f>HYPERLINK("http://www.sec.gov/Archives/edgar/data/1012569/0001012569-16-000155-index.html")</f>
        <v>http://www.sec.gov/Archives/edgar/data/1012569/0001012569-16-000155-index.html</v>
      </c>
    </row>
    <row r="5289" spans="1:6" x14ac:dyDescent="0.2">
      <c r="A5289" t="s">
        <v>4806</v>
      </c>
      <c r="B5289" s="1">
        <v>1012620</v>
      </c>
      <c r="C5289" s="1">
        <v>4011</v>
      </c>
      <c r="D5289" s="2">
        <v>42429</v>
      </c>
      <c r="E5289" s="1" t="s">
        <v>18</v>
      </c>
      <c r="F5289" t="str">
        <f>HYPERLINK("http://www.sec.gov/Archives/edgar/data/1012620/0001012620-16-000024-index.html")</f>
        <v>http://www.sec.gov/Archives/edgar/data/1012620/0001012620-16-000024-index.html</v>
      </c>
    </row>
    <row r="5290" spans="1:6" x14ac:dyDescent="0.2">
      <c r="A5290" t="s">
        <v>4807</v>
      </c>
      <c r="B5290" s="1">
        <v>1013606</v>
      </c>
      <c r="C5290" s="1">
        <v>3841</v>
      </c>
      <c r="D5290" s="2">
        <v>42429</v>
      </c>
      <c r="E5290" s="1" t="s">
        <v>18</v>
      </c>
      <c r="F5290" t="str">
        <f>HYPERLINK("http://www.sec.gov/Archives/edgar/data/1013606/0001013606-16-000208-index.html")</f>
        <v>http://www.sec.gov/Archives/edgar/data/1013606/0001013606-16-000208-index.html</v>
      </c>
    </row>
    <row r="5291" spans="1:6" x14ac:dyDescent="0.2">
      <c r="A5291" t="s">
        <v>4808</v>
      </c>
      <c r="B5291" s="1">
        <v>1013871</v>
      </c>
      <c r="C5291" s="1">
        <v>4911</v>
      </c>
      <c r="D5291" s="2">
        <v>42429</v>
      </c>
      <c r="E5291" s="1" t="s">
        <v>18</v>
      </c>
      <c r="F5291" t="str">
        <f>HYPERLINK("http://www.sec.gov/Archives/edgar/data/1013871/0001013871-16-000022-index.html")</f>
        <v>http://www.sec.gov/Archives/edgar/data/1013871/0001013871-16-000022-index.html</v>
      </c>
    </row>
    <row r="5292" spans="1:6" x14ac:dyDescent="0.2">
      <c r="A5292" t="s">
        <v>4809</v>
      </c>
      <c r="B5292" s="1">
        <v>1015328</v>
      </c>
      <c r="C5292" s="1">
        <v>6022</v>
      </c>
      <c r="D5292" s="2">
        <v>42429</v>
      </c>
      <c r="E5292" s="1" t="s">
        <v>18</v>
      </c>
      <c r="F5292" t="str">
        <f>HYPERLINK("http://www.sec.gov/Archives/edgar/data/1015328/0001015328-16-000285-index.html")</f>
        <v>http://www.sec.gov/Archives/edgar/data/1015328/0001015328-16-000285-index.html</v>
      </c>
    </row>
    <row r="5293" spans="1:6" x14ac:dyDescent="0.2">
      <c r="A5293" t="s">
        <v>4810</v>
      </c>
      <c r="B5293" s="1">
        <v>1019695</v>
      </c>
      <c r="C5293" s="1">
        <v>2834</v>
      </c>
      <c r="D5293" s="2">
        <v>42429</v>
      </c>
      <c r="E5293" s="1" t="s">
        <v>18</v>
      </c>
      <c r="F5293" t="str">
        <f>HYPERLINK("http://www.sec.gov/Archives/edgar/data/1019695/0001571049-16-012340-index.html")</f>
        <v>http://www.sec.gov/Archives/edgar/data/1019695/0001571049-16-012340-index.html</v>
      </c>
    </row>
    <row r="5294" spans="1:6" x14ac:dyDescent="0.2">
      <c r="A5294" t="s">
        <v>4811</v>
      </c>
      <c r="B5294" s="1">
        <v>1020710</v>
      </c>
      <c r="C5294" s="1">
        <v>5084</v>
      </c>
      <c r="D5294" s="2">
        <v>42429</v>
      </c>
      <c r="E5294" s="1" t="s">
        <v>18</v>
      </c>
      <c r="F5294" t="str">
        <f>HYPERLINK("http://www.sec.gov/Archives/edgar/data/1020710/0001140361-16-055589-index.html")</f>
        <v>http://www.sec.gov/Archives/edgar/data/1020710/0001140361-16-055589-index.html</v>
      </c>
    </row>
    <row r="5295" spans="1:6" x14ac:dyDescent="0.2">
      <c r="A5295" t="s">
        <v>4812</v>
      </c>
      <c r="B5295" s="1">
        <v>1022646</v>
      </c>
      <c r="C5295" s="1">
        <v>1311</v>
      </c>
      <c r="D5295" s="2">
        <v>42429</v>
      </c>
      <c r="E5295" s="1" t="s">
        <v>18</v>
      </c>
      <c r="F5295" t="str">
        <f>HYPERLINK("http://www.sec.gov/Archives/edgar/data/1022646/0001193125-16-484243-index.html")</f>
        <v>http://www.sec.gov/Archives/edgar/data/1022646/0001193125-16-484243-index.html</v>
      </c>
    </row>
    <row r="5296" spans="1:6" x14ac:dyDescent="0.2">
      <c r="A5296" t="s">
        <v>4813</v>
      </c>
      <c r="B5296" s="1">
        <v>1029199</v>
      </c>
      <c r="C5296" s="1">
        <v>6099</v>
      </c>
      <c r="D5296" s="2">
        <v>42429</v>
      </c>
      <c r="E5296" s="1" t="s">
        <v>18</v>
      </c>
      <c r="F5296" t="str">
        <f>HYPERLINK("http://www.sec.gov/Archives/edgar/data/1029199/0001029199-16-000143-index.html")</f>
        <v>http://www.sec.gov/Archives/edgar/data/1029199/0001029199-16-000143-index.html</v>
      </c>
    </row>
    <row r="5297" spans="1:6" x14ac:dyDescent="0.2">
      <c r="A5297" t="s">
        <v>4814</v>
      </c>
      <c r="B5297" s="1">
        <v>1030749</v>
      </c>
      <c r="C5297" s="1">
        <v>3533</v>
      </c>
      <c r="D5297" s="2">
        <v>42429</v>
      </c>
      <c r="E5297" s="1" t="s">
        <v>18</v>
      </c>
      <c r="F5297" t="str">
        <f>HYPERLINK("http://www.sec.gov/Archives/edgar/data/1030749/0001437749-16-026374-index.html")</f>
        <v>http://www.sec.gov/Archives/edgar/data/1030749/0001437749-16-026374-index.html</v>
      </c>
    </row>
    <row r="5298" spans="1:6" x14ac:dyDescent="0.2">
      <c r="A5298" t="s">
        <v>4815</v>
      </c>
      <c r="B5298" s="1">
        <v>1034563</v>
      </c>
      <c r="C5298" s="1">
        <v>2911</v>
      </c>
      <c r="D5298" s="2">
        <v>42429</v>
      </c>
      <c r="E5298" s="1" t="s">
        <v>18</v>
      </c>
      <c r="F5298" t="str">
        <f>HYPERLINK("http://www.sec.gov/Archives/edgar/data/1034563/0000813762-16-000057-index.html")</f>
        <v>http://www.sec.gov/Archives/edgar/data/1034563/0000813762-16-000057-index.html</v>
      </c>
    </row>
    <row r="5299" spans="1:6" x14ac:dyDescent="0.2">
      <c r="A5299" t="s">
        <v>4816</v>
      </c>
      <c r="B5299" s="1">
        <v>1035216</v>
      </c>
      <c r="C5299" s="1">
        <v>4923</v>
      </c>
      <c r="D5299" s="2">
        <v>42429</v>
      </c>
      <c r="E5299" s="1" t="s">
        <v>18</v>
      </c>
      <c r="F5299" t="str">
        <f>HYPERLINK("http://www.sec.gov/Archives/edgar/data/1035216/0001035216-16-000015-index.html")</f>
        <v>http://www.sec.gov/Archives/edgar/data/1035216/0001035216-16-000015-index.html</v>
      </c>
    </row>
    <row r="5300" spans="1:6" x14ac:dyDescent="0.2">
      <c r="A5300" t="s">
        <v>4817</v>
      </c>
      <c r="B5300" s="1">
        <v>1037540</v>
      </c>
      <c r="C5300" s="1">
        <v>6798</v>
      </c>
      <c r="D5300" s="2">
        <v>42429</v>
      </c>
      <c r="E5300" s="1" t="s">
        <v>18</v>
      </c>
      <c r="F5300" t="str">
        <f>HYPERLINK("http://www.sec.gov/Archives/edgar/data/1037540/0001656423-16-000013-index.html")</f>
        <v>http://www.sec.gov/Archives/edgar/data/1037540/0001656423-16-000013-index.html</v>
      </c>
    </row>
    <row r="5301" spans="1:6" x14ac:dyDescent="0.2">
      <c r="A5301" t="s">
        <v>4818</v>
      </c>
      <c r="B5301" s="1">
        <v>1040719</v>
      </c>
      <c r="C5301" s="1">
        <v>6162</v>
      </c>
      <c r="D5301" s="2">
        <v>42429</v>
      </c>
      <c r="E5301" s="1" t="s">
        <v>18</v>
      </c>
      <c r="F5301" t="str">
        <f>HYPERLINK("http://www.sec.gov/Archives/edgar/data/1040719/0001040719-16-000052-index.html")</f>
        <v>http://www.sec.gov/Archives/edgar/data/1040719/0001040719-16-000052-index.html</v>
      </c>
    </row>
    <row r="5302" spans="1:6" x14ac:dyDescent="0.2">
      <c r="A5302" t="s">
        <v>4819</v>
      </c>
      <c r="B5302" s="1">
        <v>1040971</v>
      </c>
      <c r="C5302" s="1">
        <v>6798</v>
      </c>
      <c r="D5302" s="2">
        <v>42429</v>
      </c>
      <c r="E5302" s="1" t="s">
        <v>18</v>
      </c>
      <c r="F5302" t="str">
        <f>HYPERLINK("http://www.sec.gov/Archives/edgar/data/1040971/0001040971-16-000016-index.html")</f>
        <v>http://www.sec.gov/Archives/edgar/data/1040971/0001040971-16-000016-index.html</v>
      </c>
    </row>
    <row r="5303" spans="1:6" x14ac:dyDescent="0.2">
      <c r="A5303" t="s">
        <v>4820</v>
      </c>
      <c r="B5303" s="1">
        <v>1041024</v>
      </c>
      <c r="C5303" s="1">
        <v>3845</v>
      </c>
      <c r="D5303" s="2">
        <v>42429</v>
      </c>
      <c r="E5303" s="1" t="s">
        <v>18</v>
      </c>
      <c r="F5303" t="str">
        <f>HYPERLINK("http://www.sec.gov/Archives/edgar/data/1041024/0001047469-16-010588-index.html")</f>
        <v>http://www.sec.gov/Archives/edgar/data/1041024/0001047469-16-010588-index.html</v>
      </c>
    </row>
    <row r="5304" spans="1:6" x14ac:dyDescent="0.2">
      <c r="A5304" t="s">
        <v>4821</v>
      </c>
      <c r="B5304" s="1">
        <v>1043121</v>
      </c>
      <c r="C5304" s="1">
        <v>6798</v>
      </c>
      <c r="D5304" s="2">
        <v>42429</v>
      </c>
      <c r="E5304" s="1" t="s">
        <v>18</v>
      </c>
      <c r="F5304" t="str">
        <f>HYPERLINK("http://www.sec.gov/Archives/edgar/data/1043121/0001656423-16-000013-index.html")</f>
        <v>http://www.sec.gov/Archives/edgar/data/1043121/0001656423-16-000013-index.html</v>
      </c>
    </row>
    <row r="5305" spans="1:6" x14ac:dyDescent="0.2">
      <c r="A5305" t="s">
        <v>4822</v>
      </c>
      <c r="B5305" s="1">
        <v>1043277</v>
      </c>
      <c r="C5305" s="1">
        <v>4731</v>
      </c>
      <c r="D5305" s="2">
        <v>42429</v>
      </c>
      <c r="E5305" s="1" t="s">
        <v>18</v>
      </c>
      <c r="F5305" t="str">
        <f>HYPERLINK("http://www.sec.gov/Archives/edgar/data/1043277/0001043277-16-000020-index.html")</f>
        <v>http://www.sec.gov/Archives/edgar/data/1043277/0001043277-16-000020-index.html</v>
      </c>
    </row>
    <row r="5306" spans="1:6" x14ac:dyDescent="0.2">
      <c r="A5306" t="s">
        <v>4823</v>
      </c>
      <c r="B5306" s="1">
        <v>1044777</v>
      </c>
      <c r="C5306" s="1">
        <v>7373</v>
      </c>
      <c r="D5306" s="2">
        <v>42429</v>
      </c>
      <c r="E5306" s="1" t="s">
        <v>18</v>
      </c>
      <c r="F5306" t="str">
        <f>HYPERLINK("http://www.sec.gov/Archives/edgar/data/1044777/0001193125-16-485621-index.html")</f>
        <v>http://www.sec.gov/Archives/edgar/data/1044777/0001193125-16-485621-index.html</v>
      </c>
    </row>
    <row r="5307" spans="1:6" x14ac:dyDescent="0.2">
      <c r="A5307" t="s">
        <v>4824</v>
      </c>
      <c r="B5307" s="1">
        <v>1046311</v>
      </c>
      <c r="C5307" s="1">
        <v>7011</v>
      </c>
      <c r="D5307" s="2">
        <v>42429</v>
      </c>
      <c r="E5307" s="1" t="s">
        <v>18</v>
      </c>
      <c r="F5307" t="str">
        <f>HYPERLINK("http://www.sec.gov/Archives/edgar/data/1046311/0001046311-16-000023-index.html")</f>
        <v>http://www.sec.gov/Archives/edgar/data/1046311/0001046311-16-000023-index.html</v>
      </c>
    </row>
    <row r="5308" spans="1:6" x14ac:dyDescent="0.2">
      <c r="A5308" t="s">
        <v>4825</v>
      </c>
      <c r="B5308" s="1">
        <v>1046327</v>
      </c>
      <c r="C5308" s="1">
        <v>7371</v>
      </c>
      <c r="D5308" s="2">
        <v>42429</v>
      </c>
      <c r="E5308" s="1" t="s">
        <v>18</v>
      </c>
      <c r="F5308" t="str">
        <f>HYPERLINK("http://www.sec.gov/Archives/edgar/data/1046327/0001046327-16-000072-index.html")</f>
        <v>http://www.sec.gov/Archives/edgar/data/1046327/0001046327-16-000072-index.html</v>
      </c>
    </row>
    <row r="5309" spans="1:6" x14ac:dyDescent="0.2">
      <c r="A5309" t="s">
        <v>4826</v>
      </c>
      <c r="B5309" s="1">
        <v>1046568</v>
      </c>
      <c r="C5309" s="1">
        <v>8200</v>
      </c>
      <c r="D5309" s="2">
        <v>42429</v>
      </c>
      <c r="E5309" s="1" t="s">
        <v>18</v>
      </c>
      <c r="F5309" t="str">
        <f>HYPERLINK("http://www.sec.gov/Archives/edgar/data/1046568/0001564590-16-013719-index.html")</f>
        <v>http://www.sec.gov/Archives/edgar/data/1046568/0001564590-16-013719-index.html</v>
      </c>
    </row>
    <row r="5310" spans="1:6" x14ac:dyDescent="0.2">
      <c r="A5310" t="s">
        <v>4827</v>
      </c>
      <c r="B5310" s="1">
        <v>1048477</v>
      </c>
      <c r="C5310" s="1">
        <v>2834</v>
      </c>
      <c r="D5310" s="2">
        <v>42429</v>
      </c>
      <c r="E5310" s="1" t="s">
        <v>18</v>
      </c>
      <c r="F5310" t="str">
        <f>HYPERLINK("http://www.sec.gov/Archives/edgar/data/1048477/0001564590-16-013653-index.html")</f>
        <v>http://www.sec.gov/Archives/edgar/data/1048477/0001564590-16-013653-index.html</v>
      </c>
    </row>
    <row r="5311" spans="1:6" x14ac:dyDescent="0.2">
      <c r="A5311" t="s">
        <v>4675</v>
      </c>
      <c r="B5311" s="1">
        <v>1049782</v>
      </c>
      <c r="C5311" s="1">
        <v>6035</v>
      </c>
      <c r="D5311" s="2">
        <v>42429</v>
      </c>
      <c r="E5311" s="1" t="s">
        <v>18</v>
      </c>
      <c r="F5311" t="str">
        <f>HYPERLINK("http://www.sec.gov/Archives/edgar/data/1049782/0001049782-16-000010-index.html")</f>
        <v>http://www.sec.gov/Archives/edgar/data/1049782/0001049782-16-000010-index.html</v>
      </c>
    </row>
    <row r="5312" spans="1:6" x14ac:dyDescent="0.2">
      <c r="A5312" t="s">
        <v>4828</v>
      </c>
      <c r="B5312" s="1">
        <v>105016</v>
      </c>
      <c r="C5312" s="1">
        <v>5070</v>
      </c>
      <c r="D5312" s="2">
        <v>42429</v>
      </c>
      <c r="E5312" s="1" t="s">
        <v>18</v>
      </c>
      <c r="F5312" t="str">
        <f>HYPERLINK("http://www.sec.gov/Archives/edgar/data/105016/0001193125-16-484870-index.html")</f>
        <v>http://www.sec.gov/Archives/edgar/data/105016/0001193125-16-484870-index.html</v>
      </c>
    </row>
    <row r="5313" spans="1:6" x14ac:dyDescent="0.2">
      <c r="A5313" t="s">
        <v>4829</v>
      </c>
      <c r="B5313" s="1">
        <v>1050441</v>
      </c>
      <c r="C5313" s="1">
        <v>6022</v>
      </c>
      <c r="D5313" s="2">
        <v>42429</v>
      </c>
      <c r="E5313" s="1" t="s">
        <v>18</v>
      </c>
      <c r="F5313" t="str">
        <f>HYPERLINK("http://www.sec.gov/Archives/edgar/data/1050441/0001047469-16-010572-index.html")</f>
        <v>http://www.sec.gov/Archives/edgar/data/1050441/0001047469-16-010572-index.html</v>
      </c>
    </row>
    <row r="5314" spans="1:6" x14ac:dyDescent="0.2">
      <c r="A5314" t="s">
        <v>4830</v>
      </c>
      <c r="B5314" s="1">
        <v>1050915</v>
      </c>
      <c r="C5314" s="1">
        <v>1731</v>
      </c>
      <c r="D5314" s="2">
        <v>42429</v>
      </c>
      <c r="E5314" s="1" t="s">
        <v>18</v>
      </c>
      <c r="F5314" t="str">
        <f>HYPERLINK("http://www.sec.gov/Archives/edgar/data/1050915/0001193125-16-485494-index.html")</f>
        <v>http://www.sec.gov/Archives/edgar/data/1050915/0001193125-16-485494-index.html</v>
      </c>
    </row>
    <row r="5315" spans="1:6" x14ac:dyDescent="0.2">
      <c r="A5315" t="s">
        <v>4831</v>
      </c>
      <c r="B5315" s="1">
        <v>1060009</v>
      </c>
      <c r="C5315" s="1">
        <v>8050</v>
      </c>
      <c r="D5315" s="2">
        <v>42429</v>
      </c>
      <c r="E5315" s="1" t="s">
        <v>18</v>
      </c>
      <c r="F5315" t="str">
        <f>HYPERLINK("http://www.sec.gov/Archives/edgar/data/1060009/0001564590-16-013685-index.html")</f>
        <v>http://www.sec.gov/Archives/edgar/data/1060009/0001564590-16-013685-index.html</v>
      </c>
    </row>
    <row r="5316" spans="1:6" x14ac:dyDescent="0.2">
      <c r="A5316" t="s">
        <v>4832</v>
      </c>
      <c r="B5316" s="1">
        <v>1060386</v>
      </c>
      <c r="C5316" s="1">
        <v>6798</v>
      </c>
      <c r="D5316" s="2">
        <v>42429</v>
      </c>
      <c r="E5316" s="1" t="s">
        <v>18</v>
      </c>
      <c r="F5316" t="str">
        <f>HYPERLINK("http://www.sec.gov/Archives/edgar/data/1060386/0001564590-16-013601-index.html")</f>
        <v>http://www.sec.gov/Archives/edgar/data/1060386/0001564590-16-013601-index.html</v>
      </c>
    </row>
    <row r="5317" spans="1:6" x14ac:dyDescent="0.2">
      <c r="A5317" t="s">
        <v>4833</v>
      </c>
      <c r="B5317" s="1">
        <v>1066104</v>
      </c>
      <c r="C5317" s="1">
        <v>8742</v>
      </c>
      <c r="D5317" s="2">
        <v>42429</v>
      </c>
      <c r="E5317" s="1" t="s">
        <v>18</v>
      </c>
      <c r="F5317" t="str">
        <f>HYPERLINK("http://www.sec.gov/Archives/edgar/data/1066104/0001564590-16-013604-index.html")</f>
        <v>http://www.sec.gov/Archives/edgar/data/1066104/0001564590-16-013604-index.html</v>
      </c>
    </row>
    <row r="5318" spans="1:6" x14ac:dyDescent="0.2">
      <c r="A5318" t="s">
        <v>4834</v>
      </c>
      <c r="B5318" s="1">
        <v>1067983</v>
      </c>
      <c r="C5318" s="1">
        <v>6331</v>
      </c>
      <c r="D5318" s="2">
        <v>42429</v>
      </c>
      <c r="E5318" s="1" t="s">
        <v>18</v>
      </c>
      <c r="F5318" t="str">
        <f>HYPERLINK("http://www.sec.gov/Archives/edgar/data/1067983/0001193125-16-483023-index.html")</f>
        <v>http://www.sec.gov/Archives/edgar/data/1067983/0001193125-16-483023-index.html</v>
      </c>
    </row>
    <row r="5319" spans="1:6" x14ac:dyDescent="0.2">
      <c r="A5319" t="s">
        <v>4835</v>
      </c>
      <c r="B5319" s="1">
        <v>1068851</v>
      </c>
      <c r="C5319" s="1">
        <v>6022</v>
      </c>
      <c r="D5319" s="2">
        <v>42429</v>
      </c>
      <c r="E5319" s="1" t="s">
        <v>18</v>
      </c>
      <c r="F5319" t="str">
        <f>HYPERLINK("http://www.sec.gov/Archives/edgar/data/1068851/0001193125-16-485648-index.html")</f>
        <v>http://www.sec.gov/Archives/edgar/data/1068851/0001193125-16-485648-index.html</v>
      </c>
    </row>
    <row r="5320" spans="1:6" x14ac:dyDescent="0.2">
      <c r="A5320" t="s">
        <v>4836</v>
      </c>
      <c r="B5320" s="1">
        <v>1070081</v>
      </c>
      <c r="C5320" s="1">
        <v>2834</v>
      </c>
      <c r="D5320" s="2">
        <v>42429</v>
      </c>
      <c r="E5320" s="1" t="s">
        <v>18</v>
      </c>
      <c r="F5320" t="str">
        <f>HYPERLINK("http://www.sec.gov/Archives/edgar/data/1070081/0001047469-16-010589-index.html")</f>
        <v>http://www.sec.gov/Archives/edgar/data/1070081/0001047469-16-010589-index.html</v>
      </c>
    </row>
    <row r="5321" spans="1:6" x14ac:dyDescent="0.2">
      <c r="A5321" t="s">
        <v>4837</v>
      </c>
      <c r="B5321" s="1">
        <v>1070154</v>
      </c>
      <c r="C5321" s="1">
        <v>6021</v>
      </c>
      <c r="D5321" s="2">
        <v>42429</v>
      </c>
      <c r="E5321" s="1" t="s">
        <v>18</v>
      </c>
      <c r="F5321" t="str">
        <f>HYPERLINK("http://www.sec.gov/Archives/edgar/data/1070154/0001070154-16-000038-index.html")</f>
        <v>http://www.sec.gov/Archives/edgar/data/1070154/0001070154-16-000038-index.html</v>
      </c>
    </row>
    <row r="5322" spans="1:6" x14ac:dyDescent="0.2">
      <c r="A5322" t="s">
        <v>4838</v>
      </c>
      <c r="B5322" s="1">
        <v>1070494</v>
      </c>
      <c r="C5322" s="1">
        <v>2834</v>
      </c>
      <c r="D5322" s="2">
        <v>42429</v>
      </c>
      <c r="E5322" s="1" t="s">
        <v>18</v>
      </c>
      <c r="F5322" t="str">
        <f>HYPERLINK("http://www.sec.gov/Archives/edgar/data/1070494/0001193125-16-483533-index.html")</f>
        <v>http://www.sec.gov/Archives/edgar/data/1070494/0001193125-16-483533-index.html</v>
      </c>
    </row>
    <row r="5323" spans="1:6" x14ac:dyDescent="0.2">
      <c r="A5323" t="s">
        <v>4839</v>
      </c>
      <c r="B5323" s="1">
        <v>1077561</v>
      </c>
      <c r="C5323" s="1">
        <v>7389</v>
      </c>
      <c r="D5323" s="2">
        <v>42429</v>
      </c>
      <c r="E5323" s="1" t="s">
        <v>18</v>
      </c>
      <c r="F5323" t="str">
        <f>HYPERLINK("http://www.sec.gov/Archives/edgar/data/1077561/0001140361-16-055365-index.html")</f>
        <v>http://www.sec.gov/Archives/edgar/data/1077561/0001140361-16-055365-index.html</v>
      </c>
    </row>
    <row r="5324" spans="1:6" x14ac:dyDescent="0.2">
      <c r="A5324" t="s">
        <v>4840</v>
      </c>
      <c r="B5324" s="1">
        <v>1080709</v>
      </c>
      <c r="C5324" s="1">
        <v>2834</v>
      </c>
      <c r="D5324" s="2">
        <v>42429</v>
      </c>
      <c r="E5324" s="1" t="s">
        <v>18</v>
      </c>
      <c r="F5324" t="str">
        <f>HYPERLINK("http://www.sec.gov/Archives/edgar/data/1080709/0001628280-16-011994-index.html")</f>
        <v>http://www.sec.gov/Archives/edgar/data/1080709/0001628280-16-011994-index.html</v>
      </c>
    </row>
    <row r="5325" spans="1:6" x14ac:dyDescent="0.2">
      <c r="A5325" t="s">
        <v>4841</v>
      </c>
      <c r="B5325" s="1">
        <v>1081316</v>
      </c>
      <c r="C5325" s="1">
        <v>4900</v>
      </c>
      <c r="D5325" s="2">
        <v>42429</v>
      </c>
      <c r="E5325" s="1" t="s">
        <v>18</v>
      </c>
      <c r="F5325" t="str">
        <f>HYPERLINK("http://www.sec.gov/Archives/edgar/data/1081316/0001081316-16-000023-index.html")</f>
        <v>http://www.sec.gov/Archives/edgar/data/1081316/0001081316-16-000023-index.html</v>
      </c>
    </row>
    <row r="5326" spans="1:6" x14ac:dyDescent="0.2">
      <c r="A5326" t="s">
        <v>4842</v>
      </c>
      <c r="B5326" s="1">
        <v>1082923</v>
      </c>
      <c r="C5326" s="1">
        <v>7389</v>
      </c>
      <c r="D5326" s="2">
        <v>42429</v>
      </c>
      <c r="E5326" s="1" t="s">
        <v>18</v>
      </c>
      <c r="F5326" t="str">
        <f>HYPERLINK("http://www.sec.gov/Archives/edgar/data/1082923/0001567619-16-001904-index.html")</f>
        <v>http://www.sec.gov/Archives/edgar/data/1082923/0001567619-16-001904-index.html</v>
      </c>
    </row>
    <row r="5327" spans="1:6" x14ac:dyDescent="0.2">
      <c r="A5327" t="s">
        <v>4843</v>
      </c>
      <c r="B5327" s="1">
        <v>1084048</v>
      </c>
      <c r="C5327" s="1">
        <v>4822</v>
      </c>
      <c r="D5327" s="2">
        <v>42429</v>
      </c>
      <c r="E5327" s="1" t="s">
        <v>18</v>
      </c>
      <c r="F5327" t="str">
        <f>HYPERLINK("http://www.sec.gov/Archives/edgar/data/1084048/0001084048-16-000015-index.html")</f>
        <v>http://www.sec.gov/Archives/edgar/data/1084048/0001084048-16-000015-index.html</v>
      </c>
    </row>
    <row r="5328" spans="1:6" x14ac:dyDescent="0.2">
      <c r="A5328" t="s">
        <v>4844</v>
      </c>
      <c r="B5328" s="1">
        <v>1085392</v>
      </c>
      <c r="C5328" s="1">
        <v>4911</v>
      </c>
      <c r="D5328" s="2">
        <v>42429</v>
      </c>
      <c r="E5328" s="1" t="s">
        <v>18</v>
      </c>
      <c r="F5328" t="str">
        <f>HYPERLINK("http://www.sec.gov/Archives/edgar/data/1085392/0001085392-16-000029-index.html")</f>
        <v>http://www.sec.gov/Archives/edgar/data/1085392/0001085392-16-000029-index.html</v>
      </c>
    </row>
    <row r="5329" spans="1:6" x14ac:dyDescent="0.2">
      <c r="A5329" t="s">
        <v>4845</v>
      </c>
      <c r="B5329" s="1">
        <v>1086222</v>
      </c>
      <c r="C5329" s="1">
        <v>7389</v>
      </c>
      <c r="D5329" s="2">
        <v>42429</v>
      </c>
      <c r="E5329" s="1" t="s">
        <v>18</v>
      </c>
      <c r="F5329" t="str">
        <f>HYPERLINK("http://www.sec.gov/Archives/edgar/data/1086222/0001086222-16-000245-index.html")</f>
        <v>http://www.sec.gov/Archives/edgar/data/1086222/0001086222-16-000245-index.html</v>
      </c>
    </row>
    <row r="5330" spans="1:6" x14ac:dyDescent="0.2">
      <c r="A5330" t="s">
        <v>4846</v>
      </c>
      <c r="B5330" s="1">
        <v>1086909</v>
      </c>
      <c r="C5330" s="1">
        <v>7372</v>
      </c>
      <c r="D5330" s="2">
        <v>42429</v>
      </c>
      <c r="E5330" s="1" t="s">
        <v>18</v>
      </c>
      <c r="F5330" t="str">
        <f>HYPERLINK("http://www.sec.gov/Archives/edgar/data/1086909/0001086909-16-000021-index.html")</f>
        <v>http://www.sec.gov/Archives/edgar/data/1086909/0001086909-16-000021-index.html</v>
      </c>
    </row>
    <row r="5331" spans="1:6" x14ac:dyDescent="0.2">
      <c r="A5331" t="s">
        <v>4847</v>
      </c>
      <c r="B5331" s="1">
        <v>109380</v>
      </c>
      <c r="C5331" s="1">
        <v>6021</v>
      </c>
      <c r="D5331" s="2">
        <v>42429</v>
      </c>
      <c r="E5331" s="1" t="s">
        <v>18</v>
      </c>
      <c r="F5331" t="str">
        <f>HYPERLINK("http://www.sec.gov/Archives/edgar/data/109380/0000109380-16-000345-index.html")</f>
        <v>http://www.sec.gov/Archives/edgar/data/109380/0000109380-16-000345-index.html</v>
      </c>
    </row>
    <row r="5332" spans="1:6" x14ac:dyDescent="0.2">
      <c r="A5332" t="s">
        <v>4848</v>
      </c>
      <c r="B5332" s="1">
        <v>1094831</v>
      </c>
      <c r="C5332" s="1">
        <v>6200</v>
      </c>
      <c r="D5332" s="2">
        <v>42429</v>
      </c>
      <c r="E5332" s="1" t="s">
        <v>18</v>
      </c>
      <c r="F5332" t="str">
        <f>HYPERLINK("http://www.sec.gov/Archives/edgar/data/1094831/0001193125-16-484938-index.html")</f>
        <v>http://www.sec.gov/Archives/edgar/data/1094831/0001193125-16-484938-index.html</v>
      </c>
    </row>
    <row r="5333" spans="1:6" x14ac:dyDescent="0.2">
      <c r="A5333" t="s">
        <v>4849</v>
      </c>
      <c r="B5333" s="1">
        <v>1095073</v>
      </c>
      <c r="C5333" s="1">
        <v>6331</v>
      </c>
      <c r="D5333" s="2">
        <v>42429</v>
      </c>
      <c r="E5333" s="1" t="s">
        <v>18</v>
      </c>
      <c r="F5333" t="str">
        <f>HYPERLINK("http://www.sec.gov/Archives/edgar/data/1095073/0001095073-16-000071-index.html")</f>
        <v>http://www.sec.gov/Archives/edgar/data/1095073/0001095073-16-000071-index.html</v>
      </c>
    </row>
    <row r="5334" spans="1:6" x14ac:dyDescent="0.2">
      <c r="A5334" t="s">
        <v>4850</v>
      </c>
      <c r="B5334" s="1">
        <v>1096376</v>
      </c>
      <c r="C5334" s="1">
        <v>5961</v>
      </c>
      <c r="D5334" s="2">
        <v>42429</v>
      </c>
      <c r="E5334" s="1" t="s">
        <v>18</v>
      </c>
      <c r="F5334" t="str">
        <f>HYPERLINK("http://www.sec.gov/Archives/edgar/data/1096376/0001564590-16-013605-index.html")</f>
        <v>http://www.sec.gov/Archives/edgar/data/1096376/0001564590-16-013605-index.html</v>
      </c>
    </row>
    <row r="5335" spans="1:6" x14ac:dyDescent="0.2">
      <c r="A5335" t="s">
        <v>4851</v>
      </c>
      <c r="B5335" s="1">
        <v>1098296</v>
      </c>
      <c r="C5335" s="1">
        <v>4911</v>
      </c>
      <c r="D5335" s="2">
        <v>42429</v>
      </c>
      <c r="E5335" s="1" t="s">
        <v>18</v>
      </c>
      <c r="F5335" t="str">
        <f>HYPERLINK("http://www.sec.gov/Archives/edgar/data/1098296/0001081316-16-000023-index.html")</f>
        <v>http://www.sec.gov/Archives/edgar/data/1098296/0001081316-16-000023-index.html</v>
      </c>
    </row>
    <row r="5336" spans="1:6" x14ac:dyDescent="0.2">
      <c r="A5336" t="s">
        <v>4852</v>
      </c>
      <c r="B5336" s="1">
        <v>1101302</v>
      </c>
      <c r="C5336" s="1">
        <v>3089</v>
      </c>
      <c r="D5336" s="2">
        <v>42429</v>
      </c>
      <c r="E5336" s="1" t="s">
        <v>18</v>
      </c>
      <c r="F5336" t="str">
        <f>HYPERLINK("http://www.sec.gov/Archives/edgar/data/1101302/0001101302-16-000012-index.html")</f>
        <v>http://www.sec.gov/Archives/edgar/data/1101302/0001101302-16-000012-index.html</v>
      </c>
    </row>
    <row r="5337" spans="1:6" x14ac:dyDescent="0.2">
      <c r="A5337" t="s">
        <v>4853</v>
      </c>
      <c r="B5337" s="1">
        <v>1102112</v>
      </c>
      <c r="C5337" s="1">
        <v>6021</v>
      </c>
      <c r="D5337" s="2">
        <v>42429</v>
      </c>
      <c r="E5337" s="1" t="s">
        <v>18</v>
      </c>
      <c r="F5337" t="str">
        <f>HYPERLINK("http://www.sec.gov/Archives/edgar/data/1102112/0001628280-16-011915-index.html")</f>
        <v>http://www.sec.gov/Archives/edgar/data/1102112/0001628280-16-011915-index.html</v>
      </c>
    </row>
    <row r="5338" spans="1:6" x14ac:dyDescent="0.2">
      <c r="A5338" t="s">
        <v>4854</v>
      </c>
      <c r="B5338" s="1">
        <v>1108134</v>
      </c>
      <c r="C5338" s="1">
        <v>6036</v>
      </c>
      <c r="D5338" s="2">
        <v>42429</v>
      </c>
      <c r="E5338" s="1" t="s">
        <v>18</v>
      </c>
      <c r="F5338" t="str">
        <f>HYPERLINK("http://www.sec.gov/Archives/edgar/data/1108134/0001108134-16-000012-index.html")</f>
        <v>http://www.sec.gov/Archives/edgar/data/1108134/0001108134-16-000012-index.html</v>
      </c>
    </row>
    <row r="5339" spans="1:6" x14ac:dyDescent="0.2">
      <c r="A5339" t="s">
        <v>4855</v>
      </c>
      <c r="B5339" s="1">
        <v>1108205</v>
      </c>
      <c r="C5339" s="1">
        <v>2836</v>
      </c>
      <c r="D5339" s="2">
        <v>42429</v>
      </c>
      <c r="E5339" s="1" t="s">
        <v>18</v>
      </c>
      <c r="F5339" t="str">
        <f>HYPERLINK("http://www.sec.gov/Archives/edgar/data/1108205/0001193125-16-484817-index.html")</f>
        <v>http://www.sec.gov/Archives/edgar/data/1108205/0001193125-16-484817-index.html</v>
      </c>
    </row>
    <row r="5340" spans="1:6" x14ac:dyDescent="0.2">
      <c r="A5340" t="s">
        <v>4856</v>
      </c>
      <c r="B5340" s="1">
        <v>1108426</v>
      </c>
      <c r="C5340" s="1">
        <v>4911</v>
      </c>
      <c r="D5340" s="2">
        <v>42429</v>
      </c>
      <c r="E5340" s="1" t="s">
        <v>18</v>
      </c>
      <c r="F5340" t="str">
        <f>HYPERLINK("http://www.sec.gov/Archives/edgar/data/1108426/0001108426-16-000165-index.html")</f>
        <v>http://www.sec.gov/Archives/edgar/data/1108426/0001108426-16-000165-index.html</v>
      </c>
    </row>
    <row r="5341" spans="1:6" x14ac:dyDescent="0.2">
      <c r="A5341" t="s">
        <v>4857</v>
      </c>
      <c r="B5341" s="1">
        <v>1109242</v>
      </c>
      <c r="C5341" s="1">
        <v>6021</v>
      </c>
      <c r="D5341" s="2">
        <v>42429</v>
      </c>
      <c r="E5341" s="1" t="s">
        <v>18</v>
      </c>
      <c r="F5341" t="str">
        <f>HYPERLINK("http://www.sec.gov/Archives/edgar/data/1109242/0001109242-16-000010-index.html")</f>
        <v>http://www.sec.gov/Archives/edgar/data/1109242/0001109242-16-000010-index.html</v>
      </c>
    </row>
    <row r="5342" spans="1:6" x14ac:dyDescent="0.2">
      <c r="A5342" t="s">
        <v>4858</v>
      </c>
      <c r="B5342" s="1">
        <v>1109354</v>
      </c>
      <c r="C5342" s="1">
        <v>3826</v>
      </c>
      <c r="D5342" s="2">
        <v>42429</v>
      </c>
      <c r="E5342" s="1" t="s">
        <v>18</v>
      </c>
      <c r="F5342" t="str">
        <f>HYPERLINK("http://www.sec.gov/Archives/edgar/data/1109354/0001047469-16-010532-index.html")</f>
        <v>http://www.sec.gov/Archives/edgar/data/1109354/0001047469-16-010532-index.html</v>
      </c>
    </row>
    <row r="5343" spans="1:6" x14ac:dyDescent="0.2">
      <c r="A5343" t="s">
        <v>4859</v>
      </c>
      <c r="B5343" s="1">
        <v>1113481</v>
      </c>
      <c r="C5343" s="1">
        <v>2834</v>
      </c>
      <c r="D5343" s="2">
        <v>42429</v>
      </c>
      <c r="E5343" s="1" t="s">
        <v>18</v>
      </c>
      <c r="F5343" t="str">
        <f>HYPERLINK("http://www.sec.gov/Archives/edgar/data/1113481/0001113481-16-000058-index.html")</f>
        <v>http://www.sec.gov/Archives/edgar/data/1113481/0001113481-16-000058-index.html</v>
      </c>
    </row>
    <row r="5344" spans="1:6" x14ac:dyDescent="0.2">
      <c r="A5344" t="s">
        <v>4860</v>
      </c>
      <c r="B5344" s="1">
        <v>1115055</v>
      </c>
      <c r="C5344" s="1">
        <v>6021</v>
      </c>
      <c r="D5344" s="2">
        <v>42429</v>
      </c>
      <c r="E5344" s="1" t="s">
        <v>18</v>
      </c>
      <c r="F5344" t="str">
        <f>HYPERLINK("http://www.sec.gov/Archives/edgar/data/1115055/0001115055-16-000088-index.html")</f>
        <v>http://www.sec.gov/Archives/edgar/data/1115055/0001115055-16-000088-index.html</v>
      </c>
    </row>
    <row r="5345" spans="1:6" x14ac:dyDescent="0.2">
      <c r="A5345" t="s">
        <v>4861</v>
      </c>
      <c r="B5345" s="1">
        <v>1117480</v>
      </c>
      <c r="C5345" s="1">
        <v>2834</v>
      </c>
      <c r="D5345" s="2">
        <v>42429</v>
      </c>
      <c r="E5345" s="1" t="s">
        <v>18</v>
      </c>
      <c r="F5345" t="str">
        <f>HYPERLINK("http://www.sec.gov/Archives/edgar/data/1117480/0001117480-16-000034-index.html")</f>
        <v>http://www.sec.gov/Archives/edgar/data/1117480/0001117480-16-000034-index.html</v>
      </c>
    </row>
    <row r="5346" spans="1:6" x14ac:dyDescent="0.2">
      <c r="A5346" t="s">
        <v>1521</v>
      </c>
      <c r="B5346" s="1">
        <v>1120295</v>
      </c>
      <c r="C5346" s="1">
        <v>3825</v>
      </c>
      <c r="D5346" s="2">
        <v>42429</v>
      </c>
      <c r="E5346" s="1" t="s">
        <v>18</v>
      </c>
      <c r="F5346" t="str">
        <f>HYPERLINK("http://www.sec.gov/Archives/edgar/data/1120295/0001120295-16-000134-index.html")</f>
        <v>http://www.sec.gov/Archives/edgar/data/1120295/0001120295-16-000134-index.html</v>
      </c>
    </row>
    <row r="5347" spans="1:6" x14ac:dyDescent="0.2">
      <c r="A5347" t="s">
        <v>4862</v>
      </c>
      <c r="B5347" s="1">
        <v>1124804</v>
      </c>
      <c r="C5347" s="1">
        <v>7373</v>
      </c>
      <c r="D5347" s="2">
        <v>42429</v>
      </c>
      <c r="E5347" s="1" t="s">
        <v>18</v>
      </c>
      <c r="F5347" t="str">
        <f>HYPERLINK("http://www.sec.gov/Archives/edgar/data/1124804/0001564590-16-013600-index.html")</f>
        <v>http://www.sec.gov/Archives/edgar/data/1124804/0001564590-16-013600-index.html</v>
      </c>
    </row>
    <row r="5348" spans="1:6" x14ac:dyDescent="0.2">
      <c r="A5348" t="s">
        <v>4863</v>
      </c>
      <c r="B5348" s="1">
        <v>1125345</v>
      </c>
      <c r="C5348" s="1">
        <v>2834</v>
      </c>
      <c r="D5348" s="2">
        <v>42429</v>
      </c>
      <c r="E5348" s="1" t="s">
        <v>18</v>
      </c>
      <c r="F5348" t="str">
        <f>HYPERLINK("http://www.sec.gov/Archives/edgar/data/1125345/0001125345-16-000046-index.html")</f>
        <v>http://www.sec.gov/Archives/edgar/data/1125345/0001125345-16-000046-index.html</v>
      </c>
    </row>
    <row r="5349" spans="1:6" x14ac:dyDescent="0.2">
      <c r="A5349" t="s">
        <v>4864</v>
      </c>
      <c r="B5349" s="1">
        <v>1126234</v>
      </c>
      <c r="C5349" s="1">
        <v>2834</v>
      </c>
      <c r="D5349" s="2">
        <v>42429</v>
      </c>
      <c r="E5349" s="1" t="s">
        <v>18</v>
      </c>
      <c r="F5349" t="str">
        <f>HYPERLINK("http://www.sec.gov/Archives/edgar/data/1126234/0001126234-16-000235-index.html")</f>
        <v>http://www.sec.gov/Archives/edgar/data/1126234/0001126234-16-000235-index.html</v>
      </c>
    </row>
    <row r="5350" spans="1:6" x14ac:dyDescent="0.2">
      <c r="A5350" t="s">
        <v>4865</v>
      </c>
      <c r="B5350" s="1">
        <v>1126294</v>
      </c>
      <c r="C5350" s="1">
        <v>4911</v>
      </c>
      <c r="D5350" s="2">
        <v>42429</v>
      </c>
      <c r="E5350" s="1" t="s">
        <v>18</v>
      </c>
      <c r="F5350" t="str">
        <f>HYPERLINK("http://www.sec.gov/Archives/edgar/data/1126294/0001126294-16-000024-index.html")</f>
        <v>http://www.sec.gov/Archives/edgar/data/1126294/0001126294-16-000024-index.html</v>
      </c>
    </row>
    <row r="5351" spans="1:6" x14ac:dyDescent="0.2">
      <c r="A5351" t="s">
        <v>4866</v>
      </c>
      <c r="B5351" s="1">
        <v>1129155</v>
      </c>
      <c r="C5351" s="1">
        <v>3730</v>
      </c>
      <c r="D5351" s="2">
        <v>42429</v>
      </c>
      <c r="E5351" s="1" t="s">
        <v>18</v>
      </c>
      <c r="F5351" t="str">
        <f>HYPERLINK("http://www.sec.gov/Archives/edgar/data/1129155/0001571049-16-012369-index.html")</f>
        <v>http://www.sec.gov/Archives/edgar/data/1129155/0001571049-16-012369-index.html</v>
      </c>
    </row>
    <row r="5352" spans="1:6" x14ac:dyDescent="0.2">
      <c r="A5352" t="s">
        <v>4867</v>
      </c>
      <c r="B5352" s="1">
        <v>1136352</v>
      </c>
      <c r="C5352" s="1">
        <v>5960</v>
      </c>
      <c r="D5352" s="2">
        <v>42429</v>
      </c>
      <c r="E5352" s="1" t="s">
        <v>18</v>
      </c>
      <c r="F5352" t="str">
        <f>HYPERLINK("http://www.sec.gov/Archives/edgar/data/1136352/0001136352-16-000018-index.html")</f>
        <v>http://www.sec.gov/Archives/edgar/data/1136352/0001136352-16-000018-index.html</v>
      </c>
    </row>
    <row r="5353" spans="1:6" x14ac:dyDescent="0.2">
      <c r="A5353" t="s">
        <v>4868</v>
      </c>
      <c r="B5353" s="1">
        <v>1136869</v>
      </c>
      <c r="C5353" s="1">
        <v>3842</v>
      </c>
      <c r="D5353" s="2">
        <v>42429</v>
      </c>
      <c r="E5353" s="1" t="s">
        <v>18</v>
      </c>
      <c r="F5353" t="str">
        <f>HYPERLINK("http://www.sec.gov/Archives/edgar/data/1136869/0001193125-16-485039-index.html")</f>
        <v>http://www.sec.gov/Archives/edgar/data/1136869/0001193125-16-485039-index.html</v>
      </c>
    </row>
    <row r="5354" spans="1:6" x14ac:dyDescent="0.2">
      <c r="A5354" t="s">
        <v>4869</v>
      </c>
      <c r="B5354" s="1">
        <v>1138118</v>
      </c>
      <c r="C5354" s="1">
        <v>6500</v>
      </c>
      <c r="D5354" s="2">
        <v>42429</v>
      </c>
      <c r="E5354" s="1" t="s">
        <v>18</v>
      </c>
      <c r="F5354" t="str">
        <f>HYPERLINK("http://www.sec.gov/Archives/edgar/data/1138118/0001193125-16-484680-index.html")</f>
        <v>http://www.sec.gov/Archives/edgar/data/1138118/0001193125-16-484680-index.html</v>
      </c>
    </row>
    <row r="5355" spans="1:6" x14ac:dyDescent="0.2">
      <c r="A5355" t="s">
        <v>4870</v>
      </c>
      <c r="B5355" s="1">
        <v>1138258</v>
      </c>
      <c r="C5355" s="1">
        <v>4911</v>
      </c>
      <c r="D5355" s="2">
        <v>42429</v>
      </c>
      <c r="E5355" s="1" t="s">
        <v>18</v>
      </c>
      <c r="F5355" t="str">
        <f>HYPERLINK("http://www.sec.gov/Archives/edgar/data/1138258/0001126294-16-000024-index.html")</f>
        <v>http://www.sec.gov/Archives/edgar/data/1138258/0001126294-16-000024-index.html</v>
      </c>
    </row>
    <row r="5356" spans="1:6" x14ac:dyDescent="0.2">
      <c r="A5356" t="s">
        <v>4871</v>
      </c>
      <c r="B5356" s="1">
        <v>1140536</v>
      </c>
      <c r="C5356" s="1">
        <v>6411</v>
      </c>
      <c r="D5356" s="2">
        <v>42429</v>
      </c>
      <c r="E5356" s="1" t="s">
        <v>18</v>
      </c>
      <c r="F5356" t="str">
        <f>HYPERLINK("http://www.sec.gov/Archives/edgar/data/1140536/0001140536-16-000035-index.html")</f>
        <v>http://www.sec.gov/Archives/edgar/data/1140536/0001140536-16-000035-index.html</v>
      </c>
    </row>
    <row r="5357" spans="1:6" x14ac:dyDescent="0.2">
      <c r="A5357" t="s">
        <v>4872</v>
      </c>
      <c r="B5357" s="1">
        <v>1140761</v>
      </c>
      <c r="C5357" s="1">
        <v>4911</v>
      </c>
      <c r="D5357" s="2">
        <v>42429</v>
      </c>
      <c r="E5357" s="1" t="s">
        <v>18</v>
      </c>
      <c r="F5357" t="str">
        <f>HYPERLINK("http://www.sec.gov/Archives/edgar/data/1140761/0001126294-16-000024-index.html")</f>
        <v>http://www.sec.gov/Archives/edgar/data/1140761/0001126294-16-000024-index.html</v>
      </c>
    </row>
    <row r="5358" spans="1:6" x14ac:dyDescent="0.2">
      <c r="A5358" t="s">
        <v>4873</v>
      </c>
      <c r="B5358" s="1">
        <v>1142417</v>
      </c>
      <c r="C5358" s="1">
        <v>4833</v>
      </c>
      <c r="D5358" s="2">
        <v>42429</v>
      </c>
      <c r="E5358" s="1" t="s">
        <v>18</v>
      </c>
      <c r="F5358" t="str">
        <f>HYPERLINK("http://www.sec.gov/Archives/edgar/data/1142417/0001564590-16-013630-index.html")</f>
        <v>http://www.sec.gov/Archives/edgar/data/1142417/0001564590-16-013630-index.html</v>
      </c>
    </row>
    <row r="5359" spans="1:6" x14ac:dyDescent="0.2">
      <c r="A5359" t="s">
        <v>1612</v>
      </c>
      <c r="B5359" s="1">
        <v>1144354</v>
      </c>
      <c r="C5359" s="1">
        <v>7389</v>
      </c>
      <c r="D5359" s="2">
        <v>42429</v>
      </c>
      <c r="E5359" s="1" t="s">
        <v>18</v>
      </c>
      <c r="F5359" t="str">
        <f>HYPERLINK("http://www.sec.gov/Archives/edgar/data/1144354/0001144354-16-000129-index.html")</f>
        <v>http://www.sec.gov/Archives/edgar/data/1144354/0001144354-16-000129-index.html</v>
      </c>
    </row>
    <row r="5360" spans="1:6" x14ac:dyDescent="0.2">
      <c r="A5360" t="s">
        <v>4874</v>
      </c>
      <c r="B5360" s="1">
        <v>1145197</v>
      </c>
      <c r="C5360" s="1">
        <v>3841</v>
      </c>
      <c r="D5360" s="2">
        <v>42429</v>
      </c>
      <c r="E5360" s="1" t="s">
        <v>18</v>
      </c>
      <c r="F5360" t="str">
        <f>HYPERLINK("http://www.sec.gov/Archives/edgar/data/1145197/0001145197-16-000083-index.html")</f>
        <v>http://www.sec.gov/Archives/edgar/data/1145197/0001145197-16-000083-index.html</v>
      </c>
    </row>
    <row r="5361" spans="1:6" x14ac:dyDescent="0.2">
      <c r="A5361" t="s">
        <v>4875</v>
      </c>
      <c r="B5361" s="1">
        <v>1159036</v>
      </c>
      <c r="C5361" s="1">
        <v>2836</v>
      </c>
      <c r="D5361" s="2">
        <v>42429</v>
      </c>
      <c r="E5361" s="1" t="s">
        <v>18</v>
      </c>
      <c r="F5361" t="str">
        <f>HYPERLINK("http://www.sec.gov/Archives/edgar/data/1159036/0001159036-16-000100-index.html")</f>
        <v>http://www.sec.gov/Archives/edgar/data/1159036/0001159036-16-000100-index.html</v>
      </c>
    </row>
    <row r="5362" spans="1:6" x14ac:dyDescent="0.2">
      <c r="A5362" t="s">
        <v>4876</v>
      </c>
      <c r="B5362" s="1">
        <v>1160958</v>
      </c>
      <c r="C5362" s="1">
        <v>3674</v>
      </c>
      <c r="D5362" s="2">
        <v>42429</v>
      </c>
      <c r="E5362" s="1" t="s">
        <v>18</v>
      </c>
      <c r="F5362" t="str">
        <f>HYPERLINK("http://www.sec.gov/Archives/edgar/data/1160958/0001437749-16-026372-index.html")</f>
        <v>http://www.sec.gov/Archives/edgar/data/1160958/0001437749-16-026372-index.html</v>
      </c>
    </row>
    <row r="5363" spans="1:6" x14ac:dyDescent="0.2">
      <c r="A5363" t="s">
        <v>4877</v>
      </c>
      <c r="B5363" s="1">
        <v>1161976</v>
      </c>
      <c r="C5363" s="1">
        <v>4911</v>
      </c>
      <c r="D5363" s="2">
        <v>42429</v>
      </c>
      <c r="E5363" s="1" t="s">
        <v>18</v>
      </c>
      <c r="F5363" t="str">
        <f>HYPERLINK("http://www.sec.gov/Archives/edgar/data/1161976/0001622536-16-000111-index.html")</f>
        <v>http://www.sec.gov/Archives/edgar/data/1161976/0001622536-16-000111-index.html</v>
      </c>
    </row>
    <row r="5364" spans="1:6" x14ac:dyDescent="0.2">
      <c r="A5364" t="s">
        <v>4878</v>
      </c>
      <c r="B5364" s="1">
        <v>1162112</v>
      </c>
      <c r="C5364" s="1">
        <v>4899</v>
      </c>
      <c r="D5364" s="2">
        <v>42429</v>
      </c>
      <c r="E5364" s="1" t="s">
        <v>18</v>
      </c>
      <c r="F5364" t="str">
        <f>HYPERLINK("http://www.sec.gov/Archives/edgar/data/1162112/0001193125-16-485714-index.html")</f>
        <v>http://www.sec.gov/Archives/edgar/data/1162112/0001193125-16-485714-index.html</v>
      </c>
    </row>
    <row r="5365" spans="1:6" x14ac:dyDescent="0.2">
      <c r="A5365" t="s">
        <v>4879</v>
      </c>
      <c r="B5365" s="1">
        <v>1162194</v>
      </c>
      <c r="C5365" s="1">
        <v>3826</v>
      </c>
      <c r="D5365" s="2">
        <v>42429</v>
      </c>
      <c r="E5365" s="1" t="s">
        <v>18</v>
      </c>
      <c r="F5365" t="str">
        <f>HYPERLINK("http://www.sec.gov/Archives/edgar/data/1162194/0001162194-16-000182-index.html")</f>
        <v>http://www.sec.gov/Archives/edgar/data/1162194/0001162194-16-000182-index.html</v>
      </c>
    </row>
    <row r="5366" spans="1:6" x14ac:dyDescent="0.2">
      <c r="A5366" t="s">
        <v>4880</v>
      </c>
      <c r="B5366" s="1">
        <v>1163302</v>
      </c>
      <c r="C5366" s="1">
        <v>3312</v>
      </c>
      <c r="D5366" s="2">
        <v>42429</v>
      </c>
      <c r="E5366" s="1" t="s">
        <v>18</v>
      </c>
      <c r="F5366" t="str">
        <f>HYPERLINK("http://www.sec.gov/Archives/edgar/data/1163302/0001163302-16-000083-index.html")</f>
        <v>http://www.sec.gov/Archives/edgar/data/1163302/0001163302-16-000083-index.html</v>
      </c>
    </row>
    <row r="5367" spans="1:6" x14ac:dyDescent="0.2">
      <c r="A5367" t="s">
        <v>4881</v>
      </c>
      <c r="B5367" s="1">
        <v>1166003</v>
      </c>
      <c r="C5367" s="1">
        <v>4700</v>
      </c>
      <c r="D5367" s="2">
        <v>42429</v>
      </c>
      <c r="E5367" s="1" t="s">
        <v>18</v>
      </c>
      <c r="F5367" t="str">
        <f>HYPERLINK("http://www.sec.gov/Archives/edgar/data/1166003/0001628280-16-011979-index.html")</f>
        <v>http://www.sec.gov/Archives/edgar/data/1166003/0001628280-16-011979-index.html</v>
      </c>
    </row>
    <row r="5368" spans="1:6" x14ac:dyDescent="0.2">
      <c r="A5368" t="s">
        <v>4882</v>
      </c>
      <c r="B5368" s="1">
        <v>1168696</v>
      </c>
      <c r="C5368" s="1">
        <v>7830</v>
      </c>
      <c r="D5368" s="2">
        <v>42429</v>
      </c>
      <c r="E5368" s="1" t="s">
        <v>18</v>
      </c>
      <c r="F5368" t="str">
        <f>HYPERLINK("http://www.sec.gov/Archives/edgar/data/1168696/0001168696-16-000021-index.html")</f>
        <v>http://www.sec.gov/Archives/edgar/data/1168696/0001168696-16-000021-index.html</v>
      </c>
    </row>
    <row r="5369" spans="1:6" x14ac:dyDescent="0.2">
      <c r="A5369" t="s">
        <v>4883</v>
      </c>
      <c r="B5369" s="1">
        <v>1170534</v>
      </c>
      <c r="C5369" s="1">
        <v>3663</v>
      </c>
      <c r="D5369" s="2">
        <v>42429</v>
      </c>
      <c r="E5369" s="1" t="s">
        <v>18</v>
      </c>
      <c r="F5369" t="str">
        <f>HYPERLINK("http://www.sec.gov/Archives/edgar/data/1170534/0001193125-16-483558-index.html")</f>
        <v>http://www.sec.gov/Archives/edgar/data/1170534/0001193125-16-483558-index.html</v>
      </c>
    </row>
    <row r="5370" spans="1:6" x14ac:dyDescent="0.2">
      <c r="A5370" t="s">
        <v>4884</v>
      </c>
      <c r="B5370" s="1">
        <v>1174922</v>
      </c>
      <c r="C5370" s="1">
        <v>7011</v>
      </c>
      <c r="D5370" s="2">
        <v>42429</v>
      </c>
      <c r="E5370" s="1" t="s">
        <v>18</v>
      </c>
      <c r="F5370" t="str">
        <f>HYPERLINK("http://www.sec.gov/Archives/edgar/data/1174922/0001174922-16-000144-index.html")</f>
        <v>http://www.sec.gov/Archives/edgar/data/1174922/0001174922-16-000144-index.html</v>
      </c>
    </row>
    <row r="5371" spans="1:6" x14ac:dyDescent="0.2">
      <c r="A5371" t="s">
        <v>4885</v>
      </c>
      <c r="B5371" s="1">
        <v>1175454</v>
      </c>
      <c r="C5371" s="1">
        <v>7389</v>
      </c>
      <c r="D5371" s="2">
        <v>42429</v>
      </c>
      <c r="E5371" s="1" t="s">
        <v>18</v>
      </c>
      <c r="F5371" t="str">
        <f>HYPERLINK("http://www.sec.gov/Archives/edgar/data/1175454/0001193125-16-485752-index.html")</f>
        <v>http://www.sec.gov/Archives/edgar/data/1175454/0001193125-16-485752-index.html</v>
      </c>
    </row>
    <row r="5372" spans="1:6" x14ac:dyDescent="0.2">
      <c r="A5372" t="s">
        <v>4886</v>
      </c>
      <c r="B5372" s="1">
        <v>1175535</v>
      </c>
      <c r="C5372" s="1">
        <v>6798</v>
      </c>
      <c r="D5372" s="2">
        <v>42429</v>
      </c>
      <c r="E5372" s="1" t="s">
        <v>18</v>
      </c>
      <c r="F5372" t="str">
        <f>HYPERLINK("http://www.sec.gov/Archives/edgar/data/1175535/0001175535-16-000049-index.html")</f>
        <v>http://www.sec.gov/Archives/edgar/data/1175535/0001175535-16-000049-index.html</v>
      </c>
    </row>
    <row r="5373" spans="1:6" x14ac:dyDescent="0.2">
      <c r="A5373" t="s">
        <v>2186</v>
      </c>
      <c r="B5373" s="1">
        <v>1176334</v>
      </c>
      <c r="C5373" s="1">
        <v>5171</v>
      </c>
      <c r="D5373" s="2">
        <v>42429</v>
      </c>
      <c r="E5373" s="1" t="s">
        <v>18</v>
      </c>
      <c r="F5373" t="str">
        <f>HYPERLINK("http://www.sec.gov/Archives/edgar/data/1176334/0001176334-16-000159-index.html")</f>
        <v>http://www.sec.gov/Archives/edgar/data/1176334/0001176334-16-000159-index.html</v>
      </c>
    </row>
    <row r="5374" spans="1:6" x14ac:dyDescent="0.2">
      <c r="A5374" t="s">
        <v>4887</v>
      </c>
      <c r="B5374" s="1">
        <v>1176948</v>
      </c>
      <c r="C5374" s="1">
        <v>6282</v>
      </c>
      <c r="D5374" s="2">
        <v>42429</v>
      </c>
      <c r="E5374" s="1" t="s">
        <v>18</v>
      </c>
      <c r="F5374" t="str">
        <f>HYPERLINK("http://www.sec.gov/Archives/edgar/data/1176948/0001558370-16-003647-index.html")</f>
        <v>http://www.sec.gov/Archives/edgar/data/1176948/0001558370-16-003647-index.html</v>
      </c>
    </row>
    <row r="5375" spans="1:6" x14ac:dyDescent="0.2">
      <c r="A5375" t="s">
        <v>4888</v>
      </c>
      <c r="B5375" s="1">
        <v>1178879</v>
      </c>
      <c r="C5375" s="1">
        <v>2834</v>
      </c>
      <c r="D5375" s="2">
        <v>42429</v>
      </c>
      <c r="E5375" s="1" t="s">
        <v>18</v>
      </c>
      <c r="F5375" t="str">
        <f>HYPERLINK("http://www.sec.gov/Archives/edgar/data/1178879/0001047469-16-010563-index.html")</f>
        <v>http://www.sec.gov/Archives/edgar/data/1178879/0001047469-16-010563-index.html</v>
      </c>
    </row>
    <row r="5376" spans="1:6" x14ac:dyDescent="0.2">
      <c r="A5376" t="s">
        <v>4889</v>
      </c>
      <c r="B5376" s="1">
        <v>1178970</v>
      </c>
      <c r="C5376" s="1">
        <v>6035</v>
      </c>
      <c r="D5376" s="2">
        <v>42429</v>
      </c>
      <c r="E5376" s="1" t="s">
        <v>18</v>
      </c>
      <c r="F5376" t="str">
        <f>HYPERLINK("http://www.sec.gov/Archives/edgar/data/1178970/0001628280-16-011913-index.html")</f>
        <v>http://www.sec.gov/Archives/edgar/data/1178970/0001628280-16-011913-index.html</v>
      </c>
    </row>
    <row r="5377" spans="1:6" x14ac:dyDescent="0.2">
      <c r="A5377" t="s">
        <v>4890</v>
      </c>
      <c r="B5377" s="1">
        <v>1180638</v>
      </c>
      <c r="C5377" s="1">
        <v>7011</v>
      </c>
      <c r="D5377" s="2">
        <v>42429</v>
      </c>
      <c r="E5377" s="1" t="s">
        <v>18</v>
      </c>
      <c r="F5377" t="str">
        <f>HYPERLINK("http://www.sec.gov/Archives/edgar/data/1180638/0001180638-16-000025-index.html")</f>
        <v>http://www.sec.gov/Archives/edgar/data/1180638/0001180638-16-000025-index.html</v>
      </c>
    </row>
    <row r="5378" spans="1:6" x14ac:dyDescent="0.2">
      <c r="A5378" t="s">
        <v>4891</v>
      </c>
      <c r="B5378" s="1">
        <v>1196501</v>
      </c>
      <c r="C5378" s="1">
        <v>7389</v>
      </c>
      <c r="D5378" s="2">
        <v>42429</v>
      </c>
      <c r="E5378" s="1" t="s">
        <v>18</v>
      </c>
      <c r="F5378" t="str">
        <f>HYPERLINK("http://www.sec.gov/Archives/edgar/data/1196501/0001171843-16-008257-index.html")</f>
        <v>http://www.sec.gov/Archives/edgar/data/1196501/0001171843-16-008257-index.html</v>
      </c>
    </row>
    <row r="5379" spans="1:6" x14ac:dyDescent="0.2">
      <c r="A5379" t="s">
        <v>4892</v>
      </c>
      <c r="B5379" s="1">
        <v>1201792</v>
      </c>
      <c r="C5379" s="1">
        <v>8200</v>
      </c>
      <c r="D5379" s="2">
        <v>42429</v>
      </c>
      <c r="E5379" s="1" t="s">
        <v>18</v>
      </c>
      <c r="F5379" t="str">
        <f>HYPERLINK("http://www.sec.gov/Archives/edgar/data/1201792/0001201792-16-000005-index.html")</f>
        <v>http://www.sec.gov/Archives/edgar/data/1201792/0001201792-16-000005-index.html</v>
      </c>
    </row>
    <row r="5380" spans="1:6" x14ac:dyDescent="0.2">
      <c r="A5380" t="s">
        <v>4893</v>
      </c>
      <c r="B5380" s="1">
        <v>1210227</v>
      </c>
      <c r="C5380" s="1">
        <v>6021</v>
      </c>
      <c r="D5380" s="2">
        <v>42429</v>
      </c>
      <c r="E5380" s="1" t="s">
        <v>18</v>
      </c>
      <c r="F5380" t="str">
        <f>HYPERLINK("http://www.sec.gov/Archives/edgar/data/1210227/0001210227-16-000100-index.html")</f>
        <v>http://www.sec.gov/Archives/edgar/data/1210227/0001210227-16-000100-index.html</v>
      </c>
    </row>
    <row r="5381" spans="1:6" x14ac:dyDescent="0.2">
      <c r="A5381" t="s">
        <v>4894</v>
      </c>
      <c r="B5381" s="1">
        <v>1216596</v>
      </c>
      <c r="C5381" s="1">
        <v>3634</v>
      </c>
      <c r="D5381" s="2">
        <v>42429</v>
      </c>
      <c r="E5381" s="1" t="s">
        <v>18</v>
      </c>
      <c r="F5381" t="str">
        <f>HYPERLINK("http://www.sec.gov/Archives/edgar/data/1216596/0001216596-16-000050-index.html")</f>
        <v>http://www.sec.gov/Archives/edgar/data/1216596/0001216596-16-000050-index.html</v>
      </c>
    </row>
    <row r="5382" spans="1:6" x14ac:dyDescent="0.2">
      <c r="A5382" t="s">
        <v>4895</v>
      </c>
      <c r="B5382" s="1">
        <v>1219601</v>
      </c>
      <c r="C5382" s="1">
        <v>3411</v>
      </c>
      <c r="D5382" s="2">
        <v>42429</v>
      </c>
      <c r="E5382" s="1" t="s">
        <v>18</v>
      </c>
      <c r="F5382" t="str">
        <f>HYPERLINK("http://www.sec.gov/Archives/edgar/data/1219601/0001219601-16-000052-index.html")</f>
        <v>http://www.sec.gov/Archives/edgar/data/1219601/0001219601-16-000052-index.html</v>
      </c>
    </row>
    <row r="5383" spans="1:6" x14ac:dyDescent="0.2">
      <c r="A5383" t="s">
        <v>4896</v>
      </c>
      <c r="B5383" s="1">
        <v>12208</v>
      </c>
      <c r="C5383" s="1">
        <v>3826</v>
      </c>
      <c r="D5383" s="2">
        <v>42429</v>
      </c>
      <c r="E5383" s="1" t="s">
        <v>18</v>
      </c>
      <c r="F5383" t="str">
        <f>HYPERLINK("http://www.sec.gov/Archives/edgar/data/12208/0000012208-16-000053-index.html")</f>
        <v>http://www.sec.gov/Archives/edgar/data/12208/0000012208-16-000053-index.html</v>
      </c>
    </row>
    <row r="5384" spans="1:6" x14ac:dyDescent="0.2">
      <c r="A5384" t="s">
        <v>3608</v>
      </c>
      <c r="B5384" s="1">
        <v>1232582</v>
      </c>
      <c r="C5384" s="1">
        <v>6798</v>
      </c>
      <c r="D5384" s="2">
        <v>42429</v>
      </c>
      <c r="E5384" s="1" t="s">
        <v>18</v>
      </c>
      <c r="F5384" t="str">
        <f>HYPERLINK("http://www.sec.gov/Archives/edgar/data/1232582/0001232582-16-000182-index.html")</f>
        <v>http://www.sec.gov/Archives/edgar/data/1232582/0001232582-16-000182-index.html</v>
      </c>
    </row>
    <row r="5385" spans="1:6" x14ac:dyDescent="0.2">
      <c r="A5385" t="s">
        <v>1173</v>
      </c>
      <c r="B5385" s="1">
        <v>1237746</v>
      </c>
      <c r="C5385" s="1">
        <v>7372</v>
      </c>
      <c r="D5385" s="2">
        <v>42429</v>
      </c>
      <c r="E5385" s="1" t="s">
        <v>18</v>
      </c>
      <c r="F5385" t="str">
        <f>HYPERLINK("http://www.sec.gov/Archives/edgar/data/1237746/0001193125-16-485478-index.html")</f>
        <v>http://www.sec.gov/Archives/edgar/data/1237746/0001193125-16-485478-index.html</v>
      </c>
    </row>
    <row r="5386" spans="1:6" x14ac:dyDescent="0.2">
      <c r="A5386" t="s">
        <v>4897</v>
      </c>
      <c r="B5386" s="1">
        <v>1237831</v>
      </c>
      <c r="C5386" s="1">
        <v>3841</v>
      </c>
      <c r="D5386" s="2">
        <v>42429</v>
      </c>
      <c r="E5386" s="1" t="s">
        <v>18</v>
      </c>
      <c r="F5386" t="str">
        <f>HYPERLINK("http://www.sec.gov/Archives/edgar/data/1237831/0001237831-16-000075-index.html")</f>
        <v>http://www.sec.gov/Archives/edgar/data/1237831/0001237831-16-000075-index.html</v>
      </c>
    </row>
    <row r="5387" spans="1:6" x14ac:dyDescent="0.2">
      <c r="A5387" t="s">
        <v>4898</v>
      </c>
      <c r="B5387" s="1">
        <v>12400</v>
      </c>
      <c r="C5387" s="1">
        <v>4911</v>
      </c>
      <c r="D5387" s="2">
        <v>42429</v>
      </c>
      <c r="E5387" s="1" t="s">
        <v>18</v>
      </c>
      <c r="F5387" t="str">
        <f>HYPERLINK("http://www.sec.gov/Archives/edgar/data/12400/0000012400-16-000015-index.html")</f>
        <v>http://www.sec.gov/Archives/edgar/data/12400/0000012400-16-000015-index.html</v>
      </c>
    </row>
    <row r="5388" spans="1:6" x14ac:dyDescent="0.2">
      <c r="A5388" t="s">
        <v>4899</v>
      </c>
      <c r="B5388" s="1">
        <v>1253689</v>
      </c>
      <c r="C5388" s="1">
        <v>2834</v>
      </c>
      <c r="D5388" s="2">
        <v>42429</v>
      </c>
      <c r="E5388" s="1" t="s">
        <v>18</v>
      </c>
      <c r="F5388" t="str">
        <f>HYPERLINK("http://www.sec.gov/Archives/edgar/data/1253689/0001558370-16-003688-index.html")</f>
        <v>http://www.sec.gov/Archives/edgar/data/1253689/0001558370-16-003688-index.html</v>
      </c>
    </row>
    <row r="5389" spans="1:6" x14ac:dyDescent="0.2">
      <c r="A5389" t="s">
        <v>4900</v>
      </c>
      <c r="B5389" s="1">
        <v>1254699</v>
      </c>
      <c r="C5389" s="1">
        <v>5961</v>
      </c>
      <c r="D5389" s="2">
        <v>42429</v>
      </c>
      <c r="E5389" s="1" t="s">
        <v>18</v>
      </c>
      <c r="F5389" t="str">
        <f>HYPERLINK("http://www.sec.gov/Archives/edgar/data/1254699/0001254699-16-000050-index.html")</f>
        <v>http://www.sec.gov/Archives/edgar/data/1254699/0001254699-16-000050-index.html</v>
      </c>
    </row>
    <row r="5390" spans="1:6" x14ac:dyDescent="0.2">
      <c r="A5390" t="s">
        <v>4901</v>
      </c>
      <c r="B5390" s="1">
        <v>1265888</v>
      </c>
      <c r="C5390" s="1">
        <v>4899</v>
      </c>
      <c r="D5390" s="2">
        <v>42429</v>
      </c>
      <c r="E5390" s="1" t="s">
        <v>18</v>
      </c>
      <c r="F5390" t="str">
        <f>HYPERLINK("http://www.sec.gov/Archives/edgar/data/1265888/0001265888-16-000062-index.html")</f>
        <v>http://www.sec.gov/Archives/edgar/data/1265888/0001265888-16-000062-index.html</v>
      </c>
    </row>
    <row r="5391" spans="1:6" x14ac:dyDescent="0.2">
      <c r="A5391" t="s">
        <v>4902</v>
      </c>
      <c r="B5391" s="1">
        <v>1269021</v>
      </c>
      <c r="C5391" s="1">
        <v>2834</v>
      </c>
      <c r="D5391" s="2">
        <v>42429</v>
      </c>
      <c r="E5391" s="1" t="s">
        <v>18</v>
      </c>
      <c r="F5391" t="str">
        <f>HYPERLINK("http://www.sec.gov/Archives/edgar/data/1269021/0001564590-16-013714-index.html")</f>
        <v>http://www.sec.gov/Archives/edgar/data/1269021/0001564590-16-013714-index.html</v>
      </c>
    </row>
    <row r="5392" spans="1:6" x14ac:dyDescent="0.2">
      <c r="A5392" t="s">
        <v>4903</v>
      </c>
      <c r="B5392" s="1">
        <v>1270073</v>
      </c>
      <c r="C5392" s="1">
        <v>2834</v>
      </c>
      <c r="D5392" s="2">
        <v>42429</v>
      </c>
      <c r="E5392" s="1" t="s">
        <v>18</v>
      </c>
      <c r="F5392" t="str">
        <f>HYPERLINK("http://www.sec.gov/Archives/edgar/data/1270073/0001144204-16-085037-index.html")</f>
        <v>http://www.sec.gov/Archives/edgar/data/1270073/0001144204-16-085037-index.html</v>
      </c>
    </row>
    <row r="5393" spans="1:6" x14ac:dyDescent="0.2">
      <c r="A5393" t="s">
        <v>4904</v>
      </c>
      <c r="B5393" s="1">
        <v>1273441</v>
      </c>
      <c r="C5393" s="1">
        <v>1311</v>
      </c>
      <c r="D5393" s="2">
        <v>42429</v>
      </c>
      <c r="E5393" s="1" t="s">
        <v>18</v>
      </c>
      <c r="F5393" t="str">
        <f>HYPERLINK("http://www.sec.gov/Archives/edgar/data/1273441/0001273441-16-000052-index.html")</f>
        <v>http://www.sec.gov/Archives/edgar/data/1273441/0001273441-16-000052-index.html</v>
      </c>
    </row>
    <row r="5394" spans="1:6" x14ac:dyDescent="0.2">
      <c r="A5394" t="s">
        <v>4905</v>
      </c>
      <c r="B5394" s="1">
        <v>1273801</v>
      </c>
      <c r="C5394" s="1">
        <v>6798</v>
      </c>
      <c r="D5394" s="2">
        <v>42429</v>
      </c>
      <c r="E5394" s="1" t="s">
        <v>18</v>
      </c>
      <c r="F5394" t="str">
        <f>HYPERLINK("http://www.sec.gov/Archives/edgar/data/1273801/0001273801-16-000064-index.html")</f>
        <v>http://www.sec.gov/Archives/edgar/data/1273801/0001273801-16-000064-index.html</v>
      </c>
    </row>
    <row r="5395" spans="1:6" x14ac:dyDescent="0.2">
      <c r="A5395" t="s">
        <v>4906</v>
      </c>
      <c r="B5395" s="1">
        <v>1276187</v>
      </c>
      <c r="C5395" s="1">
        <v>4922</v>
      </c>
      <c r="D5395" s="2">
        <v>42429</v>
      </c>
      <c r="E5395" s="1" t="s">
        <v>18</v>
      </c>
      <c r="F5395" t="str">
        <f>HYPERLINK("http://www.sec.gov/Archives/edgar/data/1276187/0001276187-16-000132-index.html")</f>
        <v>http://www.sec.gov/Archives/edgar/data/1276187/0001276187-16-000132-index.html</v>
      </c>
    </row>
    <row r="5396" spans="1:6" x14ac:dyDescent="0.2">
      <c r="A5396" t="s">
        <v>4907</v>
      </c>
      <c r="B5396" s="1">
        <v>1278680</v>
      </c>
      <c r="C5396" s="1">
        <v>6221</v>
      </c>
      <c r="D5396" s="2">
        <v>42429</v>
      </c>
      <c r="E5396" s="1" t="s">
        <v>18</v>
      </c>
      <c r="F5396" t="str">
        <f>HYPERLINK("http://www.sec.gov/Archives/edgar/data/1278680/0001437749-16-026346-index.html")</f>
        <v>http://www.sec.gov/Archives/edgar/data/1278680/0001437749-16-026346-index.html</v>
      </c>
    </row>
    <row r="5397" spans="1:6" x14ac:dyDescent="0.2">
      <c r="A5397" t="s">
        <v>4908</v>
      </c>
      <c r="B5397" s="1">
        <v>1280452</v>
      </c>
      <c r="C5397" s="1">
        <v>3674</v>
      </c>
      <c r="D5397" s="2">
        <v>42429</v>
      </c>
      <c r="E5397" s="1" t="s">
        <v>18</v>
      </c>
      <c r="F5397" t="str">
        <f>HYPERLINK("http://www.sec.gov/Archives/edgar/data/1280452/0001437749-16-026344-index.html")</f>
        <v>http://www.sec.gov/Archives/edgar/data/1280452/0001437749-16-026344-index.html</v>
      </c>
    </row>
    <row r="5398" spans="1:6" x14ac:dyDescent="0.2">
      <c r="A5398" t="s">
        <v>4909</v>
      </c>
      <c r="B5398" s="1">
        <v>1283630</v>
      </c>
      <c r="C5398" s="1">
        <v>6798</v>
      </c>
      <c r="D5398" s="2">
        <v>42429</v>
      </c>
      <c r="E5398" s="1" t="s">
        <v>18</v>
      </c>
      <c r="F5398" t="str">
        <f>HYPERLINK("http://www.sec.gov/Archives/edgar/data/1283630/0001283630-16-000038-index.html")</f>
        <v>http://www.sec.gov/Archives/edgar/data/1283630/0001283630-16-000038-index.html</v>
      </c>
    </row>
    <row r="5399" spans="1:6" x14ac:dyDescent="0.2">
      <c r="A5399" t="s">
        <v>411</v>
      </c>
      <c r="B5399" s="1">
        <v>1286131</v>
      </c>
      <c r="C5399" s="1">
        <v>7200</v>
      </c>
      <c r="D5399" s="2">
        <v>42429</v>
      </c>
      <c r="E5399" s="1" t="s">
        <v>18</v>
      </c>
      <c r="F5399" t="str">
        <f>HYPERLINK("http://www.sec.gov/Archives/edgar/data/1286131/0001193125-16-484599-index.html")</f>
        <v>http://www.sec.gov/Archives/edgar/data/1286131/0001193125-16-484599-index.html</v>
      </c>
    </row>
    <row r="5400" spans="1:6" x14ac:dyDescent="0.2">
      <c r="A5400" t="s">
        <v>4910</v>
      </c>
      <c r="B5400" s="1">
        <v>1286225</v>
      </c>
      <c r="C5400" s="1">
        <v>7372</v>
      </c>
      <c r="D5400" s="2">
        <v>42429</v>
      </c>
      <c r="E5400" s="1" t="s">
        <v>18</v>
      </c>
      <c r="F5400" t="str">
        <f>HYPERLINK("http://www.sec.gov/Archives/edgar/data/1286225/0001286225-16-000061-index.html")</f>
        <v>http://www.sec.gov/Archives/edgar/data/1286225/0001286225-16-000061-index.html</v>
      </c>
    </row>
    <row r="5401" spans="1:6" x14ac:dyDescent="0.2">
      <c r="A5401" t="s">
        <v>4911</v>
      </c>
      <c r="B5401" s="1">
        <v>1287865</v>
      </c>
      <c r="C5401" s="1">
        <v>6798</v>
      </c>
      <c r="D5401" s="2">
        <v>42429</v>
      </c>
      <c r="E5401" s="1" t="s">
        <v>18</v>
      </c>
      <c r="F5401" t="str">
        <f>HYPERLINK("http://www.sec.gov/Archives/edgar/data/1287865/0001193125-16-485612-index.html")</f>
        <v>http://www.sec.gov/Archives/edgar/data/1287865/0001193125-16-485612-index.html</v>
      </c>
    </row>
    <row r="5402" spans="1:6" x14ac:dyDescent="0.2">
      <c r="A5402" t="s">
        <v>4912</v>
      </c>
      <c r="B5402" s="1">
        <v>1289490</v>
      </c>
      <c r="C5402" s="1">
        <v>6798</v>
      </c>
      <c r="D5402" s="2">
        <v>42429</v>
      </c>
      <c r="E5402" s="1" t="s">
        <v>18</v>
      </c>
      <c r="F5402" t="str">
        <f>HYPERLINK("http://www.sec.gov/Archives/edgar/data/1289490/0001193125-16-485633-index.html")</f>
        <v>http://www.sec.gov/Archives/edgar/data/1289490/0001193125-16-485633-index.html</v>
      </c>
    </row>
    <row r="5403" spans="1:6" x14ac:dyDescent="0.2">
      <c r="A5403" t="s">
        <v>4913</v>
      </c>
      <c r="B5403" s="1">
        <v>1297587</v>
      </c>
      <c r="C5403" s="1">
        <v>6798</v>
      </c>
      <c r="D5403" s="2">
        <v>42429</v>
      </c>
      <c r="E5403" s="1" t="s">
        <v>18</v>
      </c>
      <c r="F5403" t="str">
        <f>HYPERLINK("http://www.sec.gov/Archives/edgar/data/1297587/0001297587-16-000127-index.html")</f>
        <v>http://www.sec.gov/Archives/edgar/data/1297587/0001297587-16-000127-index.html</v>
      </c>
    </row>
    <row r="5404" spans="1:6" x14ac:dyDescent="0.2">
      <c r="A5404" t="s">
        <v>588</v>
      </c>
      <c r="B5404" s="1">
        <v>1297996</v>
      </c>
      <c r="C5404" s="1">
        <v>6798</v>
      </c>
      <c r="D5404" s="2">
        <v>42429</v>
      </c>
      <c r="E5404" s="1" t="s">
        <v>18</v>
      </c>
      <c r="F5404" t="str">
        <f>HYPERLINK("http://www.sec.gov/Archives/edgar/data/1297996/0001297996-16-000124-index.html")</f>
        <v>http://www.sec.gov/Archives/edgar/data/1297996/0001297996-16-000124-index.html</v>
      </c>
    </row>
    <row r="5405" spans="1:6" x14ac:dyDescent="0.2">
      <c r="A5405" t="s">
        <v>4914</v>
      </c>
      <c r="B5405" s="1">
        <v>1298946</v>
      </c>
      <c r="C5405" s="1">
        <v>6798</v>
      </c>
      <c r="D5405" s="2">
        <v>42429</v>
      </c>
      <c r="E5405" s="1" t="s">
        <v>18</v>
      </c>
      <c r="F5405" t="str">
        <f>HYPERLINK("http://www.sec.gov/Archives/edgar/data/1298946/0001298946-16-000112-index.html")</f>
        <v>http://www.sec.gov/Archives/edgar/data/1298946/0001298946-16-000112-index.html</v>
      </c>
    </row>
    <row r="5406" spans="1:6" x14ac:dyDescent="0.2">
      <c r="A5406" t="s">
        <v>4915</v>
      </c>
      <c r="B5406" s="1">
        <v>1302343</v>
      </c>
      <c r="C5406" s="1">
        <v>6798</v>
      </c>
      <c r="D5406" s="2">
        <v>42429</v>
      </c>
      <c r="E5406" s="1" t="s">
        <v>18</v>
      </c>
      <c r="F5406" t="str">
        <f>HYPERLINK("http://www.sec.gov/Archives/edgar/data/1302343/0001302343-16-000290-index.html")</f>
        <v>http://www.sec.gov/Archives/edgar/data/1302343/0001302343-16-000290-index.html</v>
      </c>
    </row>
    <row r="5407" spans="1:6" x14ac:dyDescent="0.2">
      <c r="A5407" t="s">
        <v>4916</v>
      </c>
      <c r="B5407" s="1">
        <v>1304161</v>
      </c>
      <c r="C5407" s="1">
        <v>8742</v>
      </c>
      <c r="D5407" s="2">
        <v>42429</v>
      </c>
      <c r="E5407" s="1" t="s">
        <v>42</v>
      </c>
      <c r="F5407" t="str">
        <f>HYPERLINK("http://www.sec.gov/Archives/edgar/data/1304161/0001354488-16-006390-index.html")</f>
        <v>http://www.sec.gov/Archives/edgar/data/1304161/0001354488-16-006390-index.html</v>
      </c>
    </row>
    <row r="5408" spans="1:6" x14ac:dyDescent="0.2">
      <c r="A5408" t="s">
        <v>4917</v>
      </c>
      <c r="B5408" s="1">
        <v>1304421</v>
      </c>
      <c r="C5408" s="1">
        <v>4813</v>
      </c>
      <c r="D5408" s="2">
        <v>42429</v>
      </c>
      <c r="E5408" s="1" t="s">
        <v>18</v>
      </c>
      <c r="F5408" t="str">
        <f>HYPERLINK("http://www.sec.gov/Archives/edgar/data/1304421/0001558370-16-003635-index.html")</f>
        <v>http://www.sec.gov/Archives/edgar/data/1304421/0001558370-16-003635-index.html</v>
      </c>
    </row>
    <row r="5409" spans="1:6" x14ac:dyDescent="0.2">
      <c r="A5409" t="s">
        <v>4918</v>
      </c>
      <c r="B5409" s="1">
        <v>1304464</v>
      </c>
      <c r="C5409" s="1">
        <v>4922</v>
      </c>
      <c r="D5409" s="2">
        <v>42429</v>
      </c>
      <c r="E5409" s="1" t="s">
        <v>18</v>
      </c>
      <c r="F5409" t="str">
        <f>HYPERLINK("http://www.sec.gov/Archives/edgar/data/1304464/0001136352-16-000018-index.html")</f>
        <v>http://www.sec.gov/Archives/edgar/data/1304464/0001136352-16-000018-index.html</v>
      </c>
    </row>
    <row r="5410" spans="1:6" x14ac:dyDescent="0.2">
      <c r="A5410" t="s">
        <v>4919</v>
      </c>
      <c r="B5410" s="1">
        <v>1315257</v>
      </c>
      <c r="C5410" s="1">
        <v>2400</v>
      </c>
      <c r="D5410" s="2">
        <v>42429</v>
      </c>
      <c r="E5410" s="1" t="s">
        <v>18</v>
      </c>
      <c r="F5410" t="str">
        <f>HYPERLINK("http://www.sec.gov/Archives/edgar/data/1315257/0001564590-16-013752-index.html")</f>
        <v>http://www.sec.gov/Archives/edgar/data/1315257/0001564590-16-013752-index.html</v>
      </c>
    </row>
    <row r="5411" spans="1:6" x14ac:dyDescent="0.2">
      <c r="A5411" t="s">
        <v>4920</v>
      </c>
      <c r="B5411" s="1">
        <v>1318742</v>
      </c>
      <c r="C5411" s="1">
        <v>4400</v>
      </c>
      <c r="D5411" s="2">
        <v>42429</v>
      </c>
      <c r="E5411" s="1" t="s">
        <v>18</v>
      </c>
      <c r="F5411" t="str">
        <f>HYPERLINK("http://www.sec.gov/Archives/edgar/data/1318742/0001571049-16-012424-index.html")</f>
        <v>http://www.sec.gov/Archives/edgar/data/1318742/0001571049-16-012424-index.html</v>
      </c>
    </row>
    <row r="5412" spans="1:6" x14ac:dyDescent="0.2">
      <c r="A5412" t="s">
        <v>4921</v>
      </c>
      <c r="B5412" s="1">
        <v>1323468</v>
      </c>
      <c r="C5412" s="1">
        <v>5171</v>
      </c>
      <c r="D5412" s="2">
        <v>42429</v>
      </c>
      <c r="E5412" s="1" t="s">
        <v>18</v>
      </c>
      <c r="F5412" t="str">
        <f>HYPERLINK("http://www.sec.gov/Archives/edgar/data/1323468/0001558370-16-003708-index.html")</f>
        <v>http://www.sec.gov/Archives/edgar/data/1323468/0001558370-16-003708-index.html</v>
      </c>
    </row>
    <row r="5413" spans="1:6" x14ac:dyDescent="0.2">
      <c r="A5413" t="s">
        <v>4922</v>
      </c>
      <c r="B5413" s="1">
        <v>1323885</v>
      </c>
      <c r="C5413" s="1">
        <v>3841</v>
      </c>
      <c r="D5413" s="2">
        <v>42429</v>
      </c>
      <c r="E5413" s="1" t="s">
        <v>18</v>
      </c>
      <c r="F5413" t="str">
        <f>HYPERLINK("http://www.sec.gov/Archives/edgar/data/1323885/0001323885-16-000025-index.html")</f>
        <v>http://www.sec.gov/Archives/edgar/data/1323885/0001323885-16-000025-index.html</v>
      </c>
    </row>
    <row r="5414" spans="1:6" x14ac:dyDescent="0.2">
      <c r="A5414" t="s">
        <v>4923</v>
      </c>
      <c r="B5414" s="1">
        <v>1326583</v>
      </c>
      <c r="C5414" s="1">
        <v>7389</v>
      </c>
      <c r="D5414" s="2">
        <v>42429</v>
      </c>
      <c r="E5414" s="1" t="s">
        <v>18</v>
      </c>
      <c r="F5414" t="str">
        <f>HYPERLINK("http://www.sec.gov/Archives/edgar/data/1326583/0001193125-16-484757-index.html")</f>
        <v>http://www.sec.gov/Archives/edgar/data/1326583/0001193125-16-484757-index.html</v>
      </c>
    </row>
    <row r="5415" spans="1:6" x14ac:dyDescent="0.2">
      <c r="A5415" t="s">
        <v>4924</v>
      </c>
      <c r="B5415" s="1">
        <v>1328237</v>
      </c>
      <c r="C5415" s="1">
        <v>6221</v>
      </c>
      <c r="D5415" s="2">
        <v>42429</v>
      </c>
      <c r="E5415" s="1" t="s">
        <v>18</v>
      </c>
      <c r="F5415" t="str">
        <f>HYPERLINK("http://www.sec.gov/Archives/edgar/data/1328237/0001193125-16-482623-index.html")</f>
        <v>http://www.sec.gov/Archives/edgar/data/1328237/0001193125-16-482623-index.html</v>
      </c>
    </row>
    <row r="5416" spans="1:6" x14ac:dyDescent="0.2">
      <c r="A5416" t="s">
        <v>4925</v>
      </c>
      <c r="B5416" s="1">
        <v>1330568</v>
      </c>
      <c r="C5416" s="1">
        <v>6221</v>
      </c>
      <c r="D5416" s="2">
        <v>42429</v>
      </c>
      <c r="E5416" s="1" t="s">
        <v>18</v>
      </c>
      <c r="F5416" t="str">
        <f>HYPERLINK("http://www.sec.gov/Archives/edgar/data/1330568/0001437749-16-026351-index.html")</f>
        <v>http://www.sec.gov/Archives/edgar/data/1330568/0001437749-16-026351-index.html</v>
      </c>
    </row>
    <row r="5417" spans="1:6" x14ac:dyDescent="0.2">
      <c r="A5417" t="s">
        <v>4926</v>
      </c>
      <c r="B5417" s="1">
        <v>1331745</v>
      </c>
      <c r="C5417" s="1">
        <v>7359</v>
      </c>
      <c r="D5417" s="2">
        <v>42429</v>
      </c>
      <c r="E5417" s="1" t="s">
        <v>18</v>
      </c>
      <c r="F5417" t="str">
        <f>HYPERLINK("http://www.sec.gov/Archives/edgar/data/1331745/0001331745-16-000074-index.html")</f>
        <v>http://www.sec.gov/Archives/edgar/data/1331745/0001331745-16-000074-index.html</v>
      </c>
    </row>
    <row r="5418" spans="1:6" x14ac:dyDescent="0.2">
      <c r="A5418" t="s">
        <v>4927</v>
      </c>
      <c r="B5418" s="1">
        <v>1334036</v>
      </c>
      <c r="C5418" s="1">
        <v>3021</v>
      </c>
      <c r="D5418" s="2">
        <v>42429</v>
      </c>
      <c r="E5418" s="1" t="s">
        <v>18</v>
      </c>
      <c r="F5418" t="str">
        <f>HYPERLINK("http://www.sec.gov/Archives/edgar/data/1334036/0001047469-16-010591-index.html")</f>
        <v>http://www.sec.gov/Archives/edgar/data/1334036/0001047469-16-010591-index.html</v>
      </c>
    </row>
    <row r="5419" spans="1:6" x14ac:dyDescent="0.2">
      <c r="A5419" t="s">
        <v>4928</v>
      </c>
      <c r="B5419" s="1">
        <v>1337619</v>
      </c>
      <c r="C5419" s="1">
        <v>7389</v>
      </c>
      <c r="D5419" s="2">
        <v>42429</v>
      </c>
      <c r="E5419" s="1" t="s">
        <v>18</v>
      </c>
      <c r="F5419" t="str">
        <f>HYPERLINK("http://www.sec.gov/Archives/edgar/data/1337619/0001558370-16-003712-index.html")</f>
        <v>http://www.sec.gov/Archives/edgar/data/1337619/0001558370-16-003712-index.html</v>
      </c>
    </row>
    <row r="5420" spans="1:6" x14ac:dyDescent="0.2">
      <c r="A5420" t="s">
        <v>4929</v>
      </c>
      <c r="B5420" s="1">
        <v>1339048</v>
      </c>
      <c r="C5420" s="1">
        <v>2911</v>
      </c>
      <c r="D5420" s="2">
        <v>42429</v>
      </c>
      <c r="E5420" s="1" t="s">
        <v>18</v>
      </c>
      <c r="F5420" t="str">
        <f>HYPERLINK("http://www.sec.gov/Archives/edgar/data/1339048/0001339048-16-000082-index.html")</f>
        <v>http://www.sec.gov/Archives/edgar/data/1339048/0001339048-16-000082-index.html</v>
      </c>
    </row>
    <row r="5421" spans="1:6" x14ac:dyDescent="0.2">
      <c r="A5421" t="s">
        <v>4930</v>
      </c>
      <c r="B5421" s="1">
        <v>1340122</v>
      </c>
      <c r="C5421" s="1">
        <v>2911</v>
      </c>
      <c r="D5421" s="2">
        <v>42429</v>
      </c>
      <c r="E5421" s="1" t="s">
        <v>18</v>
      </c>
      <c r="F5421" t="str">
        <f>HYPERLINK("http://www.sec.gov/Archives/edgar/data/1340122/0001340122-16-000150-index.html")</f>
        <v>http://www.sec.gov/Archives/edgar/data/1340122/0001340122-16-000150-index.html</v>
      </c>
    </row>
    <row r="5422" spans="1:6" x14ac:dyDescent="0.2">
      <c r="A5422" t="s">
        <v>4931</v>
      </c>
      <c r="B5422" s="1">
        <v>1345122</v>
      </c>
      <c r="C5422" s="1">
        <v>3714</v>
      </c>
      <c r="D5422" s="2">
        <v>42429</v>
      </c>
      <c r="E5422" s="1" t="s">
        <v>18</v>
      </c>
      <c r="F5422" t="str">
        <f>HYPERLINK("http://www.sec.gov/Archives/edgar/data/1345122/0001345126-16-000051-index.html")</f>
        <v>http://www.sec.gov/Archives/edgar/data/1345122/0001345126-16-000051-index.html</v>
      </c>
    </row>
    <row r="5423" spans="1:6" x14ac:dyDescent="0.2">
      <c r="A5423" t="s">
        <v>4932</v>
      </c>
      <c r="B5423" s="1">
        <v>1345126</v>
      </c>
      <c r="C5423" s="1">
        <v>2510</v>
      </c>
      <c r="D5423" s="2">
        <v>42429</v>
      </c>
      <c r="E5423" s="1" t="s">
        <v>18</v>
      </c>
      <c r="F5423" t="str">
        <f>HYPERLINK("http://www.sec.gov/Archives/edgar/data/1345126/0001345126-16-000051-index.html")</f>
        <v>http://www.sec.gov/Archives/edgar/data/1345126/0001345126-16-000051-index.html</v>
      </c>
    </row>
    <row r="5424" spans="1:6" x14ac:dyDescent="0.2">
      <c r="A5424" t="s">
        <v>4933</v>
      </c>
      <c r="B5424" s="1">
        <v>1351345</v>
      </c>
      <c r="C5424" s="1">
        <v>6799</v>
      </c>
      <c r="D5424" s="2">
        <v>42429</v>
      </c>
      <c r="E5424" s="1" t="s">
        <v>18</v>
      </c>
      <c r="F5424" t="str">
        <f>HYPERLINK("http://www.sec.gov/Archives/edgar/data/1351345/0001302343-16-000290-index.html")</f>
        <v>http://www.sec.gov/Archives/edgar/data/1351345/0001302343-16-000290-index.html</v>
      </c>
    </row>
    <row r="5425" spans="1:6" x14ac:dyDescent="0.2">
      <c r="A5425" t="s">
        <v>4934</v>
      </c>
      <c r="B5425" s="1">
        <v>1351541</v>
      </c>
      <c r="C5425" s="1">
        <v>2911</v>
      </c>
      <c r="D5425" s="2">
        <v>42429</v>
      </c>
      <c r="E5425" s="1" t="s">
        <v>18</v>
      </c>
      <c r="F5425" t="str">
        <f>HYPERLINK("http://www.sec.gov/Archives/edgar/data/1351541/0001351541-16-000179-index.html")</f>
        <v>http://www.sec.gov/Archives/edgar/data/1351541/0001351541-16-000179-index.html</v>
      </c>
    </row>
    <row r="5426" spans="1:6" x14ac:dyDescent="0.2">
      <c r="A5426" t="s">
        <v>4935</v>
      </c>
      <c r="B5426" s="1">
        <v>1354730</v>
      </c>
      <c r="C5426" s="1">
        <v>6221</v>
      </c>
      <c r="D5426" s="2">
        <v>42429</v>
      </c>
      <c r="E5426" s="1" t="s">
        <v>18</v>
      </c>
      <c r="F5426" t="str">
        <f>HYPERLINK("http://www.sec.gov/Archives/edgar/data/1354730/0001193125-16-482806-index.html")</f>
        <v>http://www.sec.gov/Archives/edgar/data/1354730/0001193125-16-482806-index.html</v>
      </c>
    </row>
    <row r="5427" spans="1:6" x14ac:dyDescent="0.2">
      <c r="A5427" t="s">
        <v>4936</v>
      </c>
      <c r="B5427" s="1">
        <v>1354866</v>
      </c>
      <c r="C5427" s="1">
        <v>3690</v>
      </c>
      <c r="D5427" s="2">
        <v>42429</v>
      </c>
      <c r="E5427" s="1" t="s">
        <v>18</v>
      </c>
      <c r="F5427" t="str">
        <f>HYPERLINK("http://www.sec.gov/Archives/edgar/data/1354866/0001062993-16-008106-index.html")</f>
        <v>http://www.sec.gov/Archives/edgar/data/1354866/0001062993-16-008106-index.html</v>
      </c>
    </row>
    <row r="5428" spans="1:6" x14ac:dyDescent="0.2">
      <c r="A5428" t="s">
        <v>4937</v>
      </c>
      <c r="B5428" s="1">
        <v>1356090</v>
      </c>
      <c r="C5428" s="1">
        <v>8731</v>
      </c>
      <c r="D5428" s="2">
        <v>42429</v>
      </c>
      <c r="E5428" s="1" t="s">
        <v>18</v>
      </c>
      <c r="F5428" t="str">
        <f>HYPERLINK("http://www.sec.gov/Archives/edgar/data/1356090/0001356090-16-000092-index.html")</f>
        <v>http://www.sec.gov/Archives/edgar/data/1356090/0001356090-16-000092-index.html</v>
      </c>
    </row>
    <row r="5429" spans="1:6" x14ac:dyDescent="0.2">
      <c r="A5429" t="s">
        <v>4938</v>
      </c>
      <c r="B5429" s="1">
        <v>1357369</v>
      </c>
      <c r="C5429" s="1">
        <v>6798</v>
      </c>
      <c r="D5429" s="2">
        <v>42429</v>
      </c>
      <c r="E5429" s="1" t="s">
        <v>18</v>
      </c>
      <c r="F5429" t="str">
        <f>HYPERLINK("http://www.sec.gov/Archives/edgar/data/1357369/0001283630-16-000038-index.html")</f>
        <v>http://www.sec.gov/Archives/edgar/data/1357369/0001283630-16-000038-index.html</v>
      </c>
    </row>
    <row r="5430" spans="1:6" x14ac:dyDescent="0.2">
      <c r="A5430" t="s">
        <v>2236</v>
      </c>
      <c r="B5430" s="1">
        <v>1360683</v>
      </c>
      <c r="C5430" s="1">
        <v>6021</v>
      </c>
      <c r="D5430" s="2">
        <v>42429</v>
      </c>
      <c r="E5430" s="1" t="s">
        <v>18</v>
      </c>
      <c r="F5430" t="str">
        <f>HYPERLINK("http://www.sec.gov/Archives/edgar/data/1360683/0001360683-16-000130-index.html")</f>
        <v>http://www.sec.gov/Archives/edgar/data/1360683/0001360683-16-000130-index.html</v>
      </c>
    </row>
    <row r="5431" spans="1:6" x14ac:dyDescent="0.2">
      <c r="A5431" t="s">
        <v>4939</v>
      </c>
      <c r="B5431" s="1">
        <v>1361538</v>
      </c>
      <c r="C5431" s="1">
        <v>1623</v>
      </c>
      <c r="D5431" s="2">
        <v>42429</v>
      </c>
      <c r="E5431" s="1" t="s">
        <v>18</v>
      </c>
      <c r="F5431" t="str">
        <f>HYPERLINK("http://www.sec.gov/Archives/edgar/data/1361538/0001104659-16-100990-index.html")</f>
        <v>http://www.sec.gov/Archives/edgar/data/1361538/0001104659-16-100990-index.html</v>
      </c>
    </row>
    <row r="5432" spans="1:6" x14ac:dyDescent="0.2">
      <c r="A5432" t="s">
        <v>4940</v>
      </c>
      <c r="B5432" s="1">
        <v>1361937</v>
      </c>
      <c r="C5432" s="1">
        <v>1311</v>
      </c>
      <c r="D5432" s="2">
        <v>42429</v>
      </c>
      <c r="E5432" s="1" t="s">
        <v>18</v>
      </c>
      <c r="F5432" t="str">
        <f>HYPERLINK("http://www.sec.gov/Archives/edgar/data/1361937/0001144204-16-084719-index.html")</f>
        <v>http://www.sec.gov/Archives/edgar/data/1361937/0001144204-16-084719-index.html</v>
      </c>
    </row>
    <row r="5433" spans="1:6" x14ac:dyDescent="0.2">
      <c r="A5433" t="s">
        <v>4941</v>
      </c>
      <c r="B5433" s="1">
        <v>1363829</v>
      </c>
      <c r="C5433" s="1">
        <v>6331</v>
      </c>
      <c r="D5433" s="2">
        <v>42429</v>
      </c>
      <c r="E5433" s="1" t="s">
        <v>18</v>
      </c>
      <c r="F5433" t="str">
        <f>HYPERLINK("http://www.sec.gov/Archives/edgar/data/1363829/0001628280-16-011966-index.html")</f>
        <v>http://www.sec.gov/Archives/edgar/data/1363829/0001628280-16-011966-index.html</v>
      </c>
    </row>
    <row r="5434" spans="1:6" x14ac:dyDescent="0.2">
      <c r="A5434" t="s">
        <v>4942</v>
      </c>
      <c r="B5434" s="1">
        <v>1364479</v>
      </c>
      <c r="C5434" s="1">
        <v>7510</v>
      </c>
      <c r="D5434" s="2">
        <v>42429</v>
      </c>
      <c r="E5434" s="1" t="s">
        <v>18</v>
      </c>
      <c r="F5434" t="str">
        <f>HYPERLINK("http://www.sec.gov/Archives/edgar/data/1364479/0001364479-16-000045-index.html")</f>
        <v>http://www.sec.gov/Archives/edgar/data/1364479/0001364479-16-000045-index.html</v>
      </c>
    </row>
    <row r="5435" spans="1:6" x14ac:dyDescent="0.2">
      <c r="A5435" t="s">
        <v>4943</v>
      </c>
      <c r="B5435" s="1">
        <v>1365555</v>
      </c>
      <c r="C5435" s="1">
        <v>6331</v>
      </c>
      <c r="D5435" s="2">
        <v>42429</v>
      </c>
      <c r="E5435" s="1" t="s">
        <v>18</v>
      </c>
      <c r="F5435" t="str">
        <f>HYPERLINK("http://www.sec.gov/Archives/edgar/data/1365555/0001365555-16-000222-index.html")</f>
        <v>http://www.sec.gov/Archives/edgar/data/1365555/0001365555-16-000222-index.html</v>
      </c>
    </row>
    <row r="5436" spans="1:6" x14ac:dyDescent="0.2">
      <c r="A5436" t="s">
        <v>4944</v>
      </c>
      <c r="B5436" s="1">
        <v>1367064</v>
      </c>
      <c r="C5436" s="1">
        <v>4922</v>
      </c>
      <c r="D5436" s="2">
        <v>42429</v>
      </c>
      <c r="E5436" s="1" t="s">
        <v>18</v>
      </c>
      <c r="F5436" t="str">
        <f>HYPERLINK("http://www.sec.gov/Archives/edgar/data/1367064/0001367064-16-000027-index.html")</f>
        <v>http://www.sec.gov/Archives/edgar/data/1367064/0001367064-16-000027-index.html</v>
      </c>
    </row>
    <row r="5437" spans="1:6" x14ac:dyDescent="0.2">
      <c r="A5437" t="s">
        <v>4945</v>
      </c>
      <c r="B5437" s="1">
        <v>1367306</v>
      </c>
      <c r="C5437" s="1">
        <v>6221</v>
      </c>
      <c r="D5437" s="2">
        <v>42429</v>
      </c>
      <c r="E5437" s="1" t="s">
        <v>18</v>
      </c>
      <c r="F5437" t="str">
        <f>HYPERLINK("http://www.sec.gov/Archives/edgar/data/1367306/0001193125-16-482640-index.html")</f>
        <v>http://www.sec.gov/Archives/edgar/data/1367306/0001193125-16-482640-index.html</v>
      </c>
    </row>
    <row r="5438" spans="1:6" x14ac:dyDescent="0.2">
      <c r="A5438" t="s">
        <v>4945</v>
      </c>
      <c r="B5438" s="1">
        <v>1367306</v>
      </c>
      <c r="C5438" s="1">
        <v>6221</v>
      </c>
      <c r="D5438" s="2">
        <v>42429</v>
      </c>
      <c r="E5438" s="1" t="s">
        <v>18</v>
      </c>
      <c r="F5438" t="str">
        <f>HYPERLINK("http://www.sec.gov/Archives/edgar/data/1367306/0001193125-16-482716-index.html")</f>
        <v>http://www.sec.gov/Archives/edgar/data/1367306/0001193125-16-482716-index.html</v>
      </c>
    </row>
    <row r="5439" spans="1:6" x14ac:dyDescent="0.2">
      <c r="A5439" t="s">
        <v>4945</v>
      </c>
      <c r="B5439" s="1">
        <v>1367306</v>
      </c>
      <c r="C5439" s="1">
        <v>6221</v>
      </c>
      <c r="D5439" s="2">
        <v>42429</v>
      </c>
      <c r="E5439" s="1" t="s">
        <v>18</v>
      </c>
      <c r="F5439" t="str">
        <f>HYPERLINK("http://www.sec.gov/Archives/edgar/data/1367306/0001193125-16-482727-index.html")</f>
        <v>http://www.sec.gov/Archives/edgar/data/1367306/0001193125-16-482727-index.html</v>
      </c>
    </row>
    <row r="5440" spans="1:6" x14ac:dyDescent="0.2">
      <c r="A5440" t="s">
        <v>4945</v>
      </c>
      <c r="B5440" s="1">
        <v>1367306</v>
      </c>
      <c r="C5440" s="1">
        <v>6221</v>
      </c>
      <c r="D5440" s="2">
        <v>42429</v>
      </c>
      <c r="E5440" s="1" t="s">
        <v>18</v>
      </c>
      <c r="F5440" t="str">
        <f>HYPERLINK("http://www.sec.gov/Archives/edgar/data/1367306/0001193125-16-482730-index.html")</f>
        <v>http://www.sec.gov/Archives/edgar/data/1367306/0001193125-16-482730-index.html</v>
      </c>
    </row>
    <row r="5441" spans="1:6" x14ac:dyDescent="0.2">
      <c r="A5441" t="s">
        <v>4945</v>
      </c>
      <c r="B5441" s="1">
        <v>1367306</v>
      </c>
      <c r="C5441" s="1">
        <v>6221</v>
      </c>
      <c r="D5441" s="2">
        <v>42429</v>
      </c>
      <c r="E5441" s="1" t="s">
        <v>18</v>
      </c>
      <c r="F5441" t="str">
        <f>HYPERLINK("http://www.sec.gov/Archives/edgar/data/1367306/0001193125-16-482751-index.html")</f>
        <v>http://www.sec.gov/Archives/edgar/data/1367306/0001193125-16-482751-index.html</v>
      </c>
    </row>
    <row r="5442" spans="1:6" x14ac:dyDescent="0.2">
      <c r="A5442" t="s">
        <v>4945</v>
      </c>
      <c r="B5442" s="1">
        <v>1367306</v>
      </c>
      <c r="C5442" s="1">
        <v>6221</v>
      </c>
      <c r="D5442" s="2">
        <v>42429</v>
      </c>
      <c r="E5442" s="1" t="s">
        <v>18</v>
      </c>
      <c r="F5442" t="str">
        <f>HYPERLINK("http://www.sec.gov/Archives/edgar/data/1367306/0001193125-16-482772-index.html")</f>
        <v>http://www.sec.gov/Archives/edgar/data/1367306/0001193125-16-482772-index.html</v>
      </c>
    </row>
    <row r="5443" spans="1:6" x14ac:dyDescent="0.2">
      <c r="A5443" t="s">
        <v>4945</v>
      </c>
      <c r="B5443" s="1">
        <v>1367306</v>
      </c>
      <c r="C5443" s="1">
        <v>6221</v>
      </c>
      <c r="D5443" s="2">
        <v>42429</v>
      </c>
      <c r="E5443" s="1" t="s">
        <v>18</v>
      </c>
      <c r="F5443" t="str">
        <f>HYPERLINK("http://www.sec.gov/Archives/edgar/data/1367306/0001193125-16-482807-index.html")</f>
        <v>http://www.sec.gov/Archives/edgar/data/1367306/0001193125-16-482807-index.html</v>
      </c>
    </row>
    <row r="5444" spans="1:6" x14ac:dyDescent="0.2">
      <c r="A5444" t="s">
        <v>4946</v>
      </c>
      <c r="B5444" s="1">
        <v>1367644</v>
      </c>
      <c r="C5444" s="1">
        <v>2834</v>
      </c>
      <c r="D5444" s="2">
        <v>42429</v>
      </c>
      <c r="E5444" s="1" t="s">
        <v>18</v>
      </c>
      <c r="F5444" t="str">
        <f>HYPERLINK("http://www.sec.gov/Archives/edgar/data/1367644/0001367644-16-000059-index.html")</f>
        <v>http://www.sec.gov/Archives/edgar/data/1367644/0001367644-16-000059-index.html</v>
      </c>
    </row>
    <row r="5445" spans="1:6" x14ac:dyDescent="0.2">
      <c r="A5445" t="s">
        <v>4947</v>
      </c>
      <c r="B5445" s="1">
        <v>1370754</v>
      </c>
      <c r="C5445" s="1">
        <v>2836</v>
      </c>
      <c r="D5445" s="2">
        <v>42429</v>
      </c>
      <c r="E5445" s="1" t="s">
        <v>18</v>
      </c>
      <c r="F5445" t="str">
        <f>HYPERLINK("http://www.sec.gov/Archives/edgar/data/1370754/0001567619-16-001896-index.html")</f>
        <v>http://www.sec.gov/Archives/edgar/data/1370754/0001567619-16-001896-index.html</v>
      </c>
    </row>
    <row r="5446" spans="1:6" x14ac:dyDescent="0.2">
      <c r="A5446" t="s">
        <v>4948</v>
      </c>
      <c r="B5446" s="1">
        <v>1370755</v>
      </c>
      <c r="C5446" s="1">
        <v>2836</v>
      </c>
      <c r="D5446" s="2">
        <v>42429</v>
      </c>
      <c r="E5446" s="1" t="s">
        <v>18</v>
      </c>
      <c r="F5446" t="str">
        <f>HYPERLINK("http://www.sec.gov/Archives/edgar/data/1370755/0001567619-16-001893-index.html")</f>
        <v>http://www.sec.gov/Archives/edgar/data/1370755/0001567619-16-001893-index.html</v>
      </c>
    </row>
    <row r="5447" spans="1:6" x14ac:dyDescent="0.2">
      <c r="A5447" t="s">
        <v>4949</v>
      </c>
      <c r="B5447" s="1">
        <v>1371571</v>
      </c>
      <c r="C5447" s="1">
        <v>6221</v>
      </c>
      <c r="D5447" s="2">
        <v>42429</v>
      </c>
      <c r="E5447" s="1" t="s">
        <v>18</v>
      </c>
      <c r="F5447" t="str">
        <f>HYPERLINK("http://www.sec.gov/Archives/edgar/data/1371571/0001193125-16-482642-index.html")</f>
        <v>http://www.sec.gov/Archives/edgar/data/1371571/0001193125-16-482642-index.html</v>
      </c>
    </row>
    <row r="5448" spans="1:6" x14ac:dyDescent="0.2">
      <c r="A5448" t="s">
        <v>4949</v>
      </c>
      <c r="B5448" s="1">
        <v>1371571</v>
      </c>
      <c r="C5448" s="1">
        <v>6221</v>
      </c>
      <c r="D5448" s="2">
        <v>42429</v>
      </c>
      <c r="E5448" s="1" t="s">
        <v>18</v>
      </c>
      <c r="F5448" t="str">
        <f>HYPERLINK("http://www.sec.gov/Archives/edgar/data/1371571/0001193125-16-482676-index.html")</f>
        <v>http://www.sec.gov/Archives/edgar/data/1371571/0001193125-16-482676-index.html</v>
      </c>
    </row>
    <row r="5449" spans="1:6" x14ac:dyDescent="0.2">
      <c r="A5449" t="s">
        <v>4950</v>
      </c>
      <c r="B5449" s="1">
        <v>1376339</v>
      </c>
      <c r="C5449" s="1">
        <v>3841</v>
      </c>
      <c r="D5449" s="2">
        <v>42429</v>
      </c>
      <c r="E5449" s="1" t="s">
        <v>18</v>
      </c>
      <c r="F5449" t="str">
        <f>HYPERLINK("http://www.sec.gov/Archives/edgar/data/1376339/0001376339-16-000138-index.html")</f>
        <v>http://www.sec.gov/Archives/edgar/data/1376339/0001376339-16-000138-index.html</v>
      </c>
    </row>
    <row r="5450" spans="1:6" x14ac:dyDescent="0.2">
      <c r="A5450" t="s">
        <v>4951</v>
      </c>
      <c r="B5450" s="1">
        <v>1377178</v>
      </c>
      <c r="C5450" s="1">
        <v>1382</v>
      </c>
      <c r="D5450" s="2">
        <v>42429</v>
      </c>
      <c r="E5450" s="1" t="s">
        <v>18</v>
      </c>
      <c r="F5450" t="str">
        <f>HYPERLINK("http://www.sec.gov/Archives/edgar/data/1377178/0001214659-16-009909-index.html")</f>
        <v>http://www.sec.gov/Archives/edgar/data/1377178/0001214659-16-009909-index.html</v>
      </c>
    </row>
    <row r="5451" spans="1:6" x14ac:dyDescent="0.2">
      <c r="A5451" t="s">
        <v>4952</v>
      </c>
      <c r="B5451" s="1">
        <v>1378946</v>
      </c>
      <c r="C5451" s="1">
        <v>6035</v>
      </c>
      <c r="D5451" s="2">
        <v>42429</v>
      </c>
      <c r="E5451" s="1" t="s">
        <v>18</v>
      </c>
      <c r="F5451" t="str">
        <f>HYPERLINK("http://www.sec.gov/Archives/edgar/data/1378946/0001193125-16-485012-index.html")</f>
        <v>http://www.sec.gov/Archives/edgar/data/1378946/0001193125-16-485012-index.html</v>
      </c>
    </row>
    <row r="5452" spans="1:6" x14ac:dyDescent="0.2">
      <c r="A5452" t="s">
        <v>4953</v>
      </c>
      <c r="B5452" s="1">
        <v>1379661</v>
      </c>
      <c r="C5452" s="1">
        <v>4922</v>
      </c>
      <c r="D5452" s="2">
        <v>42429</v>
      </c>
      <c r="E5452" s="1" t="s">
        <v>18</v>
      </c>
      <c r="F5452" t="str">
        <f>HYPERLINK("http://www.sec.gov/Archives/edgar/data/1379661/0001140361-16-055576-index.html")</f>
        <v>http://www.sec.gov/Archives/edgar/data/1379661/0001140361-16-055576-index.html</v>
      </c>
    </row>
    <row r="5453" spans="1:6" x14ac:dyDescent="0.2">
      <c r="A5453" t="s">
        <v>4954</v>
      </c>
      <c r="B5453" s="1">
        <v>1381197</v>
      </c>
      <c r="C5453" s="1">
        <v>6211</v>
      </c>
      <c r="D5453" s="2">
        <v>42429</v>
      </c>
      <c r="E5453" s="1" t="s">
        <v>18</v>
      </c>
      <c r="F5453" t="str">
        <f>HYPERLINK("http://www.sec.gov/Archives/edgar/data/1381197/0001047469-16-010549-index.html")</f>
        <v>http://www.sec.gov/Archives/edgar/data/1381197/0001047469-16-010549-index.html</v>
      </c>
    </row>
    <row r="5454" spans="1:6" x14ac:dyDescent="0.2">
      <c r="A5454" t="s">
        <v>4955</v>
      </c>
      <c r="B5454" s="1">
        <v>1383054</v>
      </c>
      <c r="C5454" s="1">
        <v>6221</v>
      </c>
      <c r="D5454" s="2">
        <v>42429</v>
      </c>
      <c r="E5454" s="1" t="s">
        <v>18</v>
      </c>
      <c r="F5454" t="str">
        <f>HYPERLINK("http://www.sec.gov/Archives/edgar/data/1383054/0001193125-16-482730-index.html")</f>
        <v>http://www.sec.gov/Archives/edgar/data/1383054/0001193125-16-482730-index.html</v>
      </c>
    </row>
    <row r="5455" spans="1:6" x14ac:dyDescent="0.2">
      <c r="A5455" t="s">
        <v>4956</v>
      </c>
      <c r="B5455" s="1">
        <v>1383055</v>
      </c>
      <c r="C5455" s="1">
        <v>6221</v>
      </c>
      <c r="D5455" s="2">
        <v>42429</v>
      </c>
      <c r="E5455" s="1" t="s">
        <v>18</v>
      </c>
      <c r="F5455" t="str">
        <f>HYPERLINK("http://www.sec.gov/Archives/edgar/data/1383055/0001193125-16-482751-index.html")</f>
        <v>http://www.sec.gov/Archives/edgar/data/1383055/0001193125-16-482751-index.html</v>
      </c>
    </row>
    <row r="5456" spans="1:6" x14ac:dyDescent="0.2">
      <c r="A5456" t="s">
        <v>4957</v>
      </c>
      <c r="B5456" s="1">
        <v>1383057</v>
      </c>
      <c r="C5456" s="1">
        <v>6221</v>
      </c>
      <c r="D5456" s="2">
        <v>42429</v>
      </c>
      <c r="E5456" s="1" t="s">
        <v>18</v>
      </c>
      <c r="F5456" t="str">
        <f>HYPERLINK("http://www.sec.gov/Archives/edgar/data/1383057/0001193125-16-482772-index.html")</f>
        <v>http://www.sec.gov/Archives/edgar/data/1383057/0001193125-16-482772-index.html</v>
      </c>
    </row>
    <row r="5457" spans="1:6" x14ac:dyDescent="0.2">
      <c r="A5457" t="s">
        <v>4958</v>
      </c>
      <c r="B5457" s="1">
        <v>1383058</v>
      </c>
      <c r="C5457" s="1">
        <v>6221</v>
      </c>
      <c r="D5457" s="2">
        <v>42429</v>
      </c>
      <c r="E5457" s="1" t="s">
        <v>18</v>
      </c>
      <c r="F5457" t="str">
        <f>HYPERLINK("http://www.sec.gov/Archives/edgar/data/1383058/0001193125-16-482716-index.html")</f>
        <v>http://www.sec.gov/Archives/edgar/data/1383058/0001193125-16-482716-index.html</v>
      </c>
    </row>
    <row r="5458" spans="1:6" x14ac:dyDescent="0.2">
      <c r="A5458" t="s">
        <v>4959</v>
      </c>
      <c r="B5458" s="1">
        <v>1383062</v>
      </c>
      <c r="C5458" s="1">
        <v>6221</v>
      </c>
      <c r="D5458" s="2">
        <v>42429</v>
      </c>
      <c r="E5458" s="1" t="s">
        <v>18</v>
      </c>
      <c r="F5458" t="str">
        <f>HYPERLINK("http://www.sec.gov/Archives/edgar/data/1383062/0001193125-16-482807-index.html")</f>
        <v>http://www.sec.gov/Archives/edgar/data/1383062/0001193125-16-482807-index.html</v>
      </c>
    </row>
    <row r="5459" spans="1:6" x14ac:dyDescent="0.2">
      <c r="A5459" t="s">
        <v>4960</v>
      </c>
      <c r="B5459" s="1">
        <v>1383082</v>
      </c>
      <c r="C5459" s="1">
        <v>6221</v>
      </c>
      <c r="D5459" s="2">
        <v>42429</v>
      </c>
      <c r="E5459" s="1" t="s">
        <v>18</v>
      </c>
      <c r="F5459" t="str">
        <f>HYPERLINK("http://www.sec.gov/Archives/edgar/data/1383082/0001193125-16-482640-index.html")</f>
        <v>http://www.sec.gov/Archives/edgar/data/1383082/0001193125-16-482640-index.html</v>
      </c>
    </row>
    <row r="5460" spans="1:6" x14ac:dyDescent="0.2">
      <c r="A5460" t="s">
        <v>4961</v>
      </c>
      <c r="B5460" s="1">
        <v>1383084</v>
      </c>
      <c r="C5460" s="1">
        <v>6221</v>
      </c>
      <c r="D5460" s="2">
        <v>42429</v>
      </c>
      <c r="E5460" s="1" t="s">
        <v>18</v>
      </c>
      <c r="F5460" t="str">
        <f>HYPERLINK("http://www.sec.gov/Archives/edgar/data/1383084/0001193125-16-482727-index.html")</f>
        <v>http://www.sec.gov/Archives/edgar/data/1383084/0001193125-16-482727-index.html</v>
      </c>
    </row>
    <row r="5461" spans="1:6" x14ac:dyDescent="0.2">
      <c r="A5461" t="s">
        <v>4962</v>
      </c>
      <c r="B5461" s="1">
        <v>1383149</v>
      </c>
      <c r="C5461" s="1">
        <v>6221</v>
      </c>
      <c r="D5461" s="2">
        <v>42429</v>
      </c>
      <c r="E5461" s="1" t="s">
        <v>18</v>
      </c>
      <c r="F5461" t="str">
        <f>HYPERLINK("http://www.sec.gov/Archives/edgar/data/1383149/0001193125-16-482676-index.html")</f>
        <v>http://www.sec.gov/Archives/edgar/data/1383149/0001193125-16-482676-index.html</v>
      </c>
    </row>
    <row r="5462" spans="1:6" x14ac:dyDescent="0.2">
      <c r="A5462" t="s">
        <v>4963</v>
      </c>
      <c r="B5462" s="1">
        <v>1383151</v>
      </c>
      <c r="C5462" s="1">
        <v>6221</v>
      </c>
      <c r="D5462" s="2">
        <v>42429</v>
      </c>
      <c r="E5462" s="1" t="s">
        <v>18</v>
      </c>
      <c r="F5462" t="str">
        <f>HYPERLINK("http://www.sec.gov/Archives/edgar/data/1383151/0001193125-16-482642-index.html")</f>
        <v>http://www.sec.gov/Archives/edgar/data/1383151/0001193125-16-482642-index.html</v>
      </c>
    </row>
    <row r="5463" spans="1:6" x14ac:dyDescent="0.2">
      <c r="A5463" t="s">
        <v>4964</v>
      </c>
      <c r="B5463" s="1">
        <v>1384905</v>
      </c>
      <c r="C5463" s="1">
        <v>7374</v>
      </c>
      <c r="D5463" s="2">
        <v>42429</v>
      </c>
      <c r="E5463" s="1" t="s">
        <v>18</v>
      </c>
      <c r="F5463" t="str">
        <f>HYPERLINK("http://www.sec.gov/Archives/edgar/data/1384905/0001564590-16-013637-index.html")</f>
        <v>http://www.sec.gov/Archives/edgar/data/1384905/0001564590-16-013637-index.html</v>
      </c>
    </row>
    <row r="5464" spans="1:6" x14ac:dyDescent="0.2">
      <c r="A5464" t="s">
        <v>4965</v>
      </c>
      <c r="B5464" s="1">
        <v>1386278</v>
      </c>
      <c r="C5464" s="1">
        <v>6199</v>
      </c>
      <c r="D5464" s="2">
        <v>42429</v>
      </c>
      <c r="E5464" s="1" t="s">
        <v>18</v>
      </c>
      <c r="F5464" t="str">
        <f>HYPERLINK("http://www.sec.gov/Archives/edgar/data/1386278/0001386278-16-000079-index.html")</f>
        <v>http://www.sec.gov/Archives/edgar/data/1386278/0001386278-16-000079-index.html</v>
      </c>
    </row>
    <row r="5465" spans="1:6" x14ac:dyDescent="0.2">
      <c r="A5465" t="s">
        <v>4966</v>
      </c>
      <c r="B5465" s="1">
        <v>1389050</v>
      </c>
      <c r="C5465" s="1">
        <v>7359</v>
      </c>
      <c r="D5465" s="2">
        <v>42429</v>
      </c>
      <c r="E5465" s="1" t="s">
        <v>18</v>
      </c>
      <c r="F5465" t="str">
        <f>HYPERLINK("http://www.sec.gov/Archives/edgar/data/1389050/0001389050-16-000047-index.html")</f>
        <v>http://www.sec.gov/Archives/edgar/data/1389050/0001389050-16-000047-index.html</v>
      </c>
    </row>
    <row r="5466" spans="1:6" x14ac:dyDescent="0.2">
      <c r="A5466" t="s">
        <v>4967</v>
      </c>
      <c r="B5466" s="1">
        <v>1389170</v>
      </c>
      <c r="C5466" s="1">
        <v>4922</v>
      </c>
      <c r="D5466" s="2">
        <v>42429</v>
      </c>
      <c r="E5466" s="1" t="s">
        <v>18</v>
      </c>
      <c r="F5466" t="str">
        <f>HYPERLINK("http://www.sec.gov/Archives/edgar/data/1389170/0001140361-16-055579-index.html")</f>
        <v>http://www.sec.gov/Archives/edgar/data/1389170/0001140361-16-055579-index.html</v>
      </c>
    </row>
    <row r="5467" spans="1:6" x14ac:dyDescent="0.2">
      <c r="A5467" t="s">
        <v>4968</v>
      </c>
      <c r="B5467" s="1">
        <v>1393066</v>
      </c>
      <c r="C5467" s="1">
        <v>2621</v>
      </c>
      <c r="D5467" s="2">
        <v>42429</v>
      </c>
      <c r="E5467" s="1" t="s">
        <v>18</v>
      </c>
      <c r="F5467" t="str">
        <f>HYPERLINK("http://www.sec.gov/Archives/edgar/data/1393066/0001393066-16-000017-index.html")</f>
        <v>http://www.sec.gov/Archives/edgar/data/1393066/0001393066-16-000017-index.html</v>
      </c>
    </row>
    <row r="5468" spans="1:6" x14ac:dyDescent="0.2">
      <c r="A5468" t="s">
        <v>4969</v>
      </c>
      <c r="B5468" s="1">
        <v>1393311</v>
      </c>
      <c r="C5468" s="1">
        <v>6798</v>
      </c>
      <c r="D5468" s="2">
        <v>42429</v>
      </c>
      <c r="E5468" s="1" t="s">
        <v>18</v>
      </c>
      <c r="F5468" t="str">
        <f>HYPERLINK("http://www.sec.gov/Archives/edgar/data/1393311/0001393311-16-000036-index.html")</f>
        <v>http://www.sec.gov/Archives/edgar/data/1393311/0001393311-16-000036-index.html</v>
      </c>
    </row>
    <row r="5469" spans="1:6" x14ac:dyDescent="0.2">
      <c r="A5469" t="s">
        <v>4970</v>
      </c>
      <c r="B5469" s="1">
        <v>1396033</v>
      </c>
      <c r="C5469" s="1">
        <v>5211</v>
      </c>
      <c r="D5469" s="2">
        <v>42429</v>
      </c>
      <c r="E5469" s="1" t="s">
        <v>18</v>
      </c>
      <c r="F5469" t="str">
        <f>HYPERLINK("http://www.sec.gov/Archives/edgar/data/1396033/0001144204-16-084768-index.html")</f>
        <v>http://www.sec.gov/Archives/edgar/data/1396033/0001144204-16-084768-index.html</v>
      </c>
    </row>
    <row r="5470" spans="1:6" x14ac:dyDescent="0.2">
      <c r="A5470" t="s">
        <v>4971</v>
      </c>
      <c r="B5470" s="1">
        <v>1401257</v>
      </c>
      <c r="C5470" s="1">
        <v>3533</v>
      </c>
      <c r="D5470" s="2">
        <v>42429</v>
      </c>
      <c r="E5470" s="1" t="s">
        <v>18</v>
      </c>
      <c r="F5470" t="str">
        <f>HYPERLINK("http://www.sec.gov/Archives/edgar/data/1401257/0001401257-16-000139-index.html")</f>
        <v>http://www.sec.gov/Archives/edgar/data/1401257/0001401257-16-000139-index.html</v>
      </c>
    </row>
    <row r="5471" spans="1:6" x14ac:dyDescent="0.2">
      <c r="A5471" t="s">
        <v>4972</v>
      </c>
      <c r="B5471" s="1">
        <v>1401667</v>
      </c>
      <c r="C5471" s="1">
        <v>2834</v>
      </c>
      <c r="D5471" s="2">
        <v>42429</v>
      </c>
      <c r="E5471" s="1" t="s">
        <v>18</v>
      </c>
      <c r="F5471" t="str">
        <f>HYPERLINK("http://www.sec.gov/Archives/edgar/data/1401667/0001564590-16-013716-index.html")</f>
        <v>http://www.sec.gov/Archives/edgar/data/1401667/0001564590-16-013716-index.html</v>
      </c>
    </row>
    <row r="5472" spans="1:6" x14ac:dyDescent="0.2">
      <c r="A5472" t="s">
        <v>4973</v>
      </c>
      <c r="B5472" s="1">
        <v>1402436</v>
      </c>
      <c r="C5472" s="1">
        <v>7372</v>
      </c>
      <c r="D5472" s="2">
        <v>42429</v>
      </c>
      <c r="E5472" s="1" t="s">
        <v>18</v>
      </c>
      <c r="F5472" t="str">
        <f>HYPERLINK("http://www.sec.gov/Archives/edgar/data/1402436/0001564590-16-013602-index.html")</f>
        <v>http://www.sec.gov/Archives/edgar/data/1402436/0001564590-16-013602-index.html</v>
      </c>
    </row>
    <row r="5473" spans="1:6" x14ac:dyDescent="0.2">
      <c r="A5473" t="s">
        <v>3007</v>
      </c>
      <c r="B5473" s="1">
        <v>1408100</v>
      </c>
      <c r="C5473" s="1">
        <v>6500</v>
      </c>
      <c r="D5473" s="2">
        <v>42429</v>
      </c>
      <c r="E5473" s="1" t="s">
        <v>18</v>
      </c>
      <c r="F5473" t="str">
        <f>HYPERLINK("http://www.sec.gov/Archives/edgar/data/1408100/0001408100-16-000238-index.html")</f>
        <v>http://www.sec.gov/Archives/edgar/data/1408100/0001408100-16-000238-index.html</v>
      </c>
    </row>
    <row r="5474" spans="1:6" x14ac:dyDescent="0.2">
      <c r="A5474" t="s">
        <v>4974</v>
      </c>
      <c r="B5474" s="1">
        <v>1411158</v>
      </c>
      <c r="C5474" s="1">
        <v>2834</v>
      </c>
      <c r="D5474" s="2">
        <v>42429</v>
      </c>
      <c r="E5474" s="1" t="s">
        <v>18</v>
      </c>
      <c r="F5474" t="str">
        <f>HYPERLINK("http://www.sec.gov/Archives/edgar/data/1411158/0001047469-16-010583-index.html")</f>
        <v>http://www.sec.gov/Archives/edgar/data/1411158/0001047469-16-010583-index.html</v>
      </c>
    </row>
    <row r="5475" spans="1:6" x14ac:dyDescent="0.2">
      <c r="A5475" t="s">
        <v>4975</v>
      </c>
      <c r="B5475" s="1">
        <v>1411494</v>
      </c>
      <c r="C5475" s="1">
        <v>6282</v>
      </c>
      <c r="D5475" s="2">
        <v>42429</v>
      </c>
      <c r="E5475" s="1" t="s">
        <v>18</v>
      </c>
      <c r="F5475" t="str">
        <f>HYPERLINK("http://www.sec.gov/Archives/edgar/data/1411494/0001411494-16-000030-index.html")</f>
        <v>http://www.sec.gov/Archives/edgar/data/1411494/0001411494-16-000030-index.html</v>
      </c>
    </row>
    <row r="5476" spans="1:6" x14ac:dyDescent="0.2">
      <c r="A5476" t="s">
        <v>4976</v>
      </c>
      <c r="B5476" s="1">
        <v>1415311</v>
      </c>
      <c r="C5476" s="1">
        <v>6221</v>
      </c>
      <c r="D5476" s="2">
        <v>42429</v>
      </c>
      <c r="E5476" s="1" t="s">
        <v>18</v>
      </c>
      <c r="F5476" t="str">
        <f>HYPERLINK("http://www.sec.gov/Archives/edgar/data/1415311/0001193125-16-485710-index.html")</f>
        <v>http://www.sec.gov/Archives/edgar/data/1415311/0001193125-16-485710-index.html</v>
      </c>
    </row>
    <row r="5477" spans="1:6" x14ac:dyDescent="0.2">
      <c r="A5477" t="s">
        <v>4977</v>
      </c>
      <c r="B5477" s="1">
        <v>1418091</v>
      </c>
      <c r="C5477" s="1">
        <v>7370</v>
      </c>
      <c r="D5477" s="2">
        <v>42429</v>
      </c>
      <c r="E5477" s="1" t="s">
        <v>18</v>
      </c>
      <c r="F5477" t="str">
        <f>HYPERLINK("http://www.sec.gov/Archives/edgar/data/1418091/0001564590-16-013646-index.html")</f>
        <v>http://www.sec.gov/Archives/edgar/data/1418091/0001564590-16-013646-index.html</v>
      </c>
    </row>
    <row r="5478" spans="1:6" x14ac:dyDescent="0.2">
      <c r="A5478" t="s">
        <v>4978</v>
      </c>
      <c r="B5478" s="1">
        <v>1419581</v>
      </c>
      <c r="C5478" s="1">
        <v>3714</v>
      </c>
      <c r="D5478" s="2">
        <v>42429</v>
      </c>
      <c r="E5478" s="1" t="s">
        <v>18</v>
      </c>
      <c r="F5478" t="str">
        <f>HYPERLINK("http://www.sec.gov/Archives/edgar/data/1419581/0001628280-16-011881-index.html")</f>
        <v>http://www.sec.gov/Archives/edgar/data/1419581/0001628280-16-011881-index.html</v>
      </c>
    </row>
    <row r="5479" spans="1:6" x14ac:dyDescent="0.2">
      <c r="A5479" t="s">
        <v>4979</v>
      </c>
      <c r="B5479" s="1">
        <v>1421461</v>
      </c>
      <c r="C5479" s="1">
        <v>1400</v>
      </c>
      <c r="D5479" s="2">
        <v>42429</v>
      </c>
      <c r="E5479" s="1" t="s">
        <v>18</v>
      </c>
      <c r="F5479" t="str">
        <f>HYPERLINK("http://www.sec.gov/Archives/edgar/data/1421461/0001421461-16-000031-index.html")</f>
        <v>http://www.sec.gov/Archives/edgar/data/1421461/0001421461-16-000031-index.html</v>
      </c>
    </row>
    <row r="5480" spans="1:6" x14ac:dyDescent="0.2">
      <c r="A5480" t="s">
        <v>4980</v>
      </c>
      <c r="B5480" s="1">
        <v>1422183</v>
      </c>
      <c r="C5480" s="1">
        <v>1400</v>
      </c>
      <c r="D5480" s="2">
        <v>42429</v>
      </c>
      <c r="E5480" s="1" t="s">
        <v>18</v>
      </c>
      <c r="F5480" t="str">
        <f>HYPERLINK("http://www.sec.gov/Archives/edgar/data/1422183/0001193125-16-485431-index.html")</f>
        <v>http://www.sec.gov/Archives/edgar/data/1422183/0001193125-16-485431-index.html</v>
      </c>
    </row>
    <row r="5481" spans="1:6" x14ac:dyDescent="0.2">
      <c r="A5481" t="s">
        <v>4981</v>
      </c>
      <c r="B5481" s="1">
        <v>1424657</v>
      </c>
      <c r="C5481" s="1">
        <v>5140</v>
      </c>
      <c r="D5481" s="2">
        <v>42429</v>
      </c>
      <c r="E5481" s="1" t="s">
        <v>42</v>
      </c>
      <c r="F5481" t="str">
        <f>HYPERLINK("http://www.sec.gov/Archives/edgar/data/1424657/0001469709-16-000695-index.html")</f>
        <v>http://www.sec.gov/Archives/edgar/data/1424657/0001469709-16-000695-index.html</v>
      </c>
    </row>
    <row r="5482" spans="1:6" x14ac:dyDescent="0.2">
      <c r="A5482" t="s">
        <v>4981</v>
      </c>
      <c r="B5482" s="1">
        <v>1424657</v>
      </c>
      <c r="C5482" s="1">
        <v>5140</v>
      </c>
      <c r="D5482" s="2">
        <v>42429</v>
      </c>
      <c r="E5482" s="1" t="s">
        <v>42</v>
      </c>
      <c r="F5482" t="str">
        <f>HYPERLINK("http://www.sec.gov/Archives/edgar/data/1424657/0001469709-16-000696-index.html")</f>
        <v>http://www.sec.gov/Archives/edgar/data/1424657/0001469709-16-000696-index.html</v>
      </c>
    </row>
    <row r="5483" spans="1:6" x14ac:dyDescent="0.2">
      <c r="A5483" t="s">
        <v>4981</v>
      </c>
      <c r="B5483" s="1">
        <v>1424657</v>
      </c>
      <c r="C5483" s="1">
        <v>5140</v>
      </c>
      <c r="D5483" s="2">
        <v>42429</v>
      </c>
      <c r="E5483" s="1" t="s">
        <v>18</v>
      </c>
      <c r="F5483" t="str">
        <f>HYPERLINK("http://www.sec.gov/Archives/edgar/data/1424657/0001469709-16-000697-index.html")</f>
        <v>http://www.sec.gov/Archives/edgar/data/1424657/0001469709-16-000697-index.html</v>
      </c>
    </row>
    <row r="5484" spans="1:6" x14ac:dyDescent="0.2">
      <c r="A5484" t="s">
        <v>4982</v>
      </c>
      <c r="B5484" s="1">
        <v>1424929</v>
      </c>
      <c r="C5484" s="1">
        <v>3751</v>
      </c>
      <c r="D5484" s="2">
        <v>42429</v>
      </c>
      <c r="E5484" s="1" t="s">
        <v>18</v>
      </c>
      <c r="F5484" t="str">
        <f>HYPERLINK("http://www.sec.gov/Archives/edgar/data/1424929/0001424929-16-000069-index.html")</f>
        <v>http://www.sec.gov/Archives/edgar/data/1424929/0001424929-16-000069-index.html</v>
      </c>
    </row>
    <row r="5485" spans="1:6" x14ac:dyDescent="0.2">
      <c r="A5485" t="s">
        <v>4983</v>
      </c>
      <c r="B5485" s="1">
        <v>1433195</v>
      </c>
      <c r="C5485" s="1">
        <v>7372</v>
      </c>
      <c r="D5485" s="2">
        <v>42429</v>
      </c>
      <c r="E5485" s="1" t="s">
        <v>18</v>
      </c>
      <c r="F5485" t="str">
        <f>HYPERLINK("http://www.sec.gov/Archives/edgar/data/1433195/0001433195-16-000016-index.html")</f>
        <v>http://www.sec.gov/Archives/edgar/data/1433195/0001433195-16-000016-index.html</v>
      </c>
    </row>
    <row r="5486" spans="1:6" x14ac:dyDescent="0.2">
      <c r="A5486" t="s">
        <v>4984</v>
      </c>
      <c r="B5486" s="1">
        <v>1433660</v>
      </c>
      <c r="C5486" s="1">
        <v>3550</v>
      </c>
      <c r="D5486" s="2">
        <v>42429</v>
      </c>
      <c r="E5486" s="1" t="s">
        <v>18</v>
      </c>
      <c r="F5486" t="str">
        <f>HYPERLINK("http://www.sec.gov/Archives/edgar/data/1433660/0001628280-16-012004-index.html")</f>
        <v>http://www.sec.gov/Archives/edgar/data/1433660/0001628280-16-012004-index.html</v>
      </c>
    </row>
    <row r="5487" spans="1:6" x14ac:dyDescent="0.2">
      <c r="A5487" t="s">
        <v>4985</v>
      </c>
      <c r="B5487" s="1">
        <v>1437106</v>
      </c>
      <c r="C5487" s="1">
        <v>7380</v>
      </c>
      <c r="D5487" s="2">
        <v>42429</v>
      </c>
      <c r="E5487" s="1" t="s">
        <v>18</v>
      </c>
      <c r="F5487" t="str">
        <f>HYPERLINK("http://www.sec.gov/Archives/edgar/data/1437106/0001437106-16-000160-index.html")</f>
        <v>http://www.sec.gov/Archives/edgar/data/1437106/0001437106-16-000160-index.html</v>
      </c>
    </row>
    <row r="5488" spans="1:6" x14ac:dyDescent="0.2">
      <c r="A5488" t="s">
        <v>4986</v>
      </c>
      <c r="B5488" s="1">
        <v>1437578</v>
      </c>
      <c r="C5488" s="1">
        <v>8351</v>
      </c>
      <c r="D5488" s="2">
        <v>42429</v>
      </c>
      <c r="E5488" s="1" t="s">
        <v>18</v>
      </c>
      <c r="F5488" t="str">
        <f>HYPERLINK("http://www.sec.gov/Archives/edgar/data/1437578/0001437578-16-000066-index.html")</f>
        <v>http://www.sec.gov/Archives/edgar/data/1437578/0001437578-16-000066-index.html</v>
      </c>
    </row>
    <row r="5489" spans="1:6" x14ac:dyDescent="0.2">
      <c r="A5489" t="s">
        <v>4987</v>
      </c>
      <c r="B5489" s="1">
        <v>1444380</v>
      </c>
      <c r="C5489" s="1">
        <v>3841</v>
      </c>
      <c r="D5489" s="2">
        <v>42429</v>
      </c>
      <c r="E5489" s="1" t="s">
        <v>18</v>
      </c>
      <c r="F5489" t="str">
        <f>HYPERLINK("http://www.sec.gov/Archives/edgar/data/1444380/0001193125-16-485541-index.html")</f>
        <v>http://www.sec.gov/Archives/edgar/data/1444380/0001193125-16-485541-index.html</v>
      </c>
    </row>
    <row r="5490" spans="1:6" x14ac:dyDescent="0.2">
      <c r="A5490" t="s">
        <v>4988</v>
      </c>
      <c r="B5490" s="1">
        <v>1447599</v>
      </c>
      <c r="C5490" s="1">
        <v>3571</v>
      </c>
      <c r="D5490" s="2">
        <v>42429</v>
      </c>
      <c r="E5490" s="1" t="s">
        <v>18</v>
      </c>
      <c r="F5490" t="str">
        <f>HYPERLINK("http://www.sec.gov/Archives/edgar/data/1447599/0001447599-16-000018-index.html")</f>
        <v>http://www.sec.gov/Archives/edgar/data/1447599/0001447599-16-000018-index.html</v>
      </c>
    </row>
    <row r="5491" spans="1:6" x14ac:dyDescent="0.2">
      <c r="A5491" t="s">
        <v>4989</v>
      </c>
      <c r="B5491" s="1">
        <v>1448893</v>
      </c>
      <c r="C5491" s="1">
        <v>6351</v>
      </c>
      <c r="D5491" s="2">
        <v>42429</v>
      </c>
      <c r="E5491" s="1" t="s">
        <v>18</v>
      </c>
      <c r="F5491" t="str">
        <f>HYPERLINK("http://www.sec.gov/Archives/edgar/data/1448893/0001628280-16-011882-index.html")</f>
        <v>http://www.sec.gov/Archives/edgar/data/1448893/0001628280-16-011882-index.html</v>
      </c>
    </row>
    <row r="5492" spans="1:6" x14ac:dyDescent="0.2">
      <c r="A5492" t="s">
        <v>4990</v>
      </c>
      <c r="B5492" s="1">
        <v>1450922</v>
      </c>
      <c r="C5492" s="1">
        <v>6221</v>
      </c>
      <c r="D5492" s="2">
        <v>42429</v>
      </c>
      <c r="E5492" s="1" t="s">
        <v>18</v>
      </c>
      <c r="F5492" t="str">
        <f>HYPERLINK("http://www.sec.gov/Archives/edgar/data/1450922/0001450922-16-000014-index.html")</f>
        <v>http://www.sec.gov/Archives/edgar/data/1450922/0001450922-16-000014-index.html</v>
      </c>
    </row>
    <row r="5493" spans="1:6" x14ac:dyDescent="0.2">
      <c r="A5493" t="s">
        <v>4991</v>
      </c>
      <c r="B5493" s="1">
        <v>1450923</v>
      </c>
      <c r="C5493" s="1">
        <v>6221</v>
      </c>
      <c r="D5493" s="2">
        <v>42429</v>
      </c>
      <c r="E5493" s="1" t="s">
        <v>18</v>
      </c>
      <c r="F5493" t="str">
        <f>HYPERLINK("http://www.sec.gov/Archives/edgar/data/1450923/0001450923-16-000027-index.html")</f>
        <v>http://www.sec.gov/Archives/edgar/data/1450923/0001450923-16-000027-index.html</v>
      </c>
    </row>
    <row r="5494" spans="1:6" x14ac:dyDescent="0.2">
      <c r="A5494" t="s">
        <v>4992</v>
      </c>
      <c r="B5494" s="1">
        <v>1453814</v>
      </c>
      <c r="C5494" s="1">
        <v>7372</v>
      </c>
      <c r="D5494" s="2">
        <v>42429</v>
      </c>
      <c r="E5494" s="1" t="s">
        <v>18</v>
      </c>
      <c r="F5494" t="str">
        <f>HYPERLINK("http://www.sec.gov/Archives/edgar/data/1453814/0001453814-16-000174-index.html")</f>
        <v>http://www.sec.gov/Archives/edgar/data/1453814/0001453814-16-000174-index.html</v>
      </c>
    </row>
    <row r="5495" spans="1:6" x14ac:dyDescent="0.2">
      <c r="A5495" t="s">
        <v>4993</v>
      </c>
      <c r="B5495" s="1">
        <v>1455741</v>
      </c>
      <c r="C5495" s="1">
        <v>1381</v>
      </c>
      <c r="D5495" s="2">
        <v>42429</v>
      </c>
      <c r="E5495" s="1" t="s">
        <v>18</v>
      </c>
      <c r="F5495" t="str">
        <f>HYPERLINK("http://www.sec.gov/Archives/edgar/data/1455741/0001214659-16-009906-index.html")</f>
        <v>http://www.sec.gov/Archives/edgar/data/1455741/0001214659-16-009906-index.html</v>
      </c>
    </row>
    <row r="5496" spans="1:6" x14ac:dyDescent="0.2">
      <c r="A5496" t="s">
        <v>4994</v>
      </c>
      <c r="B5496" s="1">
        <v>1457919</v>
      </c>
      <c r="C5496" s="1">
        <v>1311</v>
      </c>
      <c r="D5496" s="2">
        <v>42429</v>
      </c>
      <c r="E5496" s="1" t="s">
        <v>18</v>
      </c>
      <c r="F5496" t="str">
        <f>HYPERLINK("http://www.sec.gov/Archives/edgar/data/1457919/0001214659-16-009907-index.html")</f>
        <v>http://www.sec.gov/Archives/edgar/data/1457919/0001214659-16-009907-index.html</v>
      </c>
    </row>
    <row r="5497" spans="1:6" x14ac:dyDescent="0.2">
      <c r="A5497" t="s">
        <v>4995</v>
      </c>
      <c r="B5497" s="1">
        <v>1459200</v>
      </c>
      <c r="C5497" s="1">
        <v>7372</v>
      </c>
      <c r="D5497" s="2">
        <v>42429</v>
      </c>
      <c r="E5497" s="1" t="s">
        <v>18</v>
      </c>
      <c r="F5497" t="str">
        <f>HYPERLINK("http://www.sec.gov/Archives/edgar/data/1459200/0001459200-16-000024-index.html")</f>
        <v>http://www.sec.gov/Archives/edgar/data/1459200/0001459200-16-000024-index.html</v>
      </c>
    </row>
    <row r="5498" spans="1:6" x14ac:dyDescent="0.2">
      <c r="A5498" t="s">
        <v>4996</v>
      </c>
      <c r="B5498" s="1">
        <v>1459862</v>
      </c>
      <c r="C5498" s="1">
        <v>6221</v>
      </c>
      <c r="D5498" s="2">
        <v>42429</v>
      </c>
      <c r="E5498" s="1" t="s">
        <v>18</v>
      </c>
      <c r="F5498" t="str">
        <f>HYPERLINK("http://www.sec.gov/Archives/edgar/data/1459862/0001459862-16-000015-index.html")</f>
        <v>http://www.sec.gov/Archives/edgar/data/1459862/0001459862-16-000015-index.html</v>
      </c>
    </row>
    <row r="5499" spans="1:6" x14ac:dyDescent="0.2">
      <c r="A5499" t="s">
        <v>4997</v>
      </c>
      <c r="B5499" s="1">
        <v>1460235</v>
      </c>
      <c r="C5499" s="1">
        <v>6221</v>
      </c>
      <c r="D5499" s="2">
        <v>42429</v>
      </c>
      <c r="E5499" s="1" t="s">
        <v>18</v>
      </c>
      <c r="F5499" t="str">
        <f>HYPERLINK("http://www.sec.gov/Archives/edgar/data/1460235/0001460235-16-000017-index.html")</f>
        <v>http://www.sec.gov/Archives/edgar/data/1460235/0001460235-16-000017-index.html</v>
      </c>
    </row>
    <row r="5500" spans="1:6" x14ac:dyDescent="0.2">
      <c r="A5500" t="s">
        <v>4998</v>
      </c>
      <c r="B5500" s="1">
        <v>1460602</v>
      </c>
      <c r="C5500" s="1">
        <v>2834</v>
      </c>
      <c r="D5500" s="2">
        <v>42429</v>
      </c>
      <c r="E5500" s="1" t="s">
        <v>18</v>
      </c>
      <c r="F5500" t="str">
        <f>HYPERLINK("http://www.sec.gov/Archives/edgar/data/1460602/0001062993-16-008107-index.html")</f>
        <v>http://www.sec.gov/Archives/edgar/data/1460602/0001062993-16-008107-index.html</v>
      </c>
    </row>
    <row r="5501" spans="1:6" x14ac:dyDescent="0.2">
      <c r="A5501" t="s">
        <v>4999</v>
      </c>
      <c r="B5501" s="1">
        <v>1462633</v>
      </c>
      <c r="C5501" s="1">
        <v>7374</v>
      </c>
      <c r="D5501" s="2">
        <v>42429</v>
      </c>
      <c r="E5501" s="1" t="s">
        <v>18</v>
      </c>
      <c r="F5501" t="str">
        <f>HYPERLINK("http://www.sec.gov/Archives/edgar/data/1462633/0001628280-16-011939-index.html")</f>
        <v>http://www.sec.gov/Archives/edgar/data/1462633/0001628280-16-011939-index.html</v>
      </c>
    </row>
    <row r="5502" spans="1:6" x14ac:dyDescent="0.2">
      <c r="A5502" t="s">
        <v>5000</v>
      </c>
      <c r="B5502" s="1">
        <v>1464423</v>
      </c>
      <c r="C5502" s="1">
        <v>6798</v>
      </c>
      <c r="D5502" s="2">
        <v>42429</v>
      </c>
      <c r="E5502" s="1" t="s">
        <v>18</v>
      </c>
      <c r="F5502" t="str">
        <f>HYPERLINK("http://www.sec.gov/Archives/edgar/data/1464423/0001193125-16-484507-index.html")</f>
        <v>http://www.sec.gov/Archives/edgar/data/1464423/0001193125-16-484507-index.html</v>
      </c>
    </row>
    <row r="5503" spans="1:6" x14ac:dyDescent="0.2">
      <c r="A5503" t="s">
        <v>5001</v>
      </c>
      <c r="B5503" s="1">
        <v>1466301</v>
      </c>
      <c r="C5503" s="1">
        <v>2834</v>
      </c>
      <c r="D5503" s="2">
        <v>42429</v>
      </c>
      <c r="E5503" s="1" t="s">
        <v>18</v>
      </c>
      <c r="F5503" t="str">
        <f>HYPERLINK("http://www.sec.gov/Archives/edgar/data/1466301/0001564590-16-013672-index.html")</f>
        <v>http://www.sec.gov/Archives/edgar/data/1466301/0001564590-16-013672-index.html</v>
      </c>
    </row>
    <row r="5504" spans="1:6" x14ac:dyDescent="0.2">
      <c r="A5504" t="s">
        <v>5002</v>
      </c>
      <c r="B5504" s="1">
        <v>1466538</v>
      </c>
      <c r="C5504" s="1">
        <v>6211</v>
      </c>
      <c r="D5504" s="2">
        <v>42429</v>
      </c>
      <c r="E5504" s="1" t="s">
        <v>18</v>
      </c>
      <c r="F5504" t="str">
        <f>HYPERLINK("http://www.sec.gov/Archives/edgar/data/1466538/0001466538-16-000058-index.html")</f>
        <v>http://www.sec.gov/Archives/edgar/data/1466538/0001466538-16-000058-index.html</v>
      </c>
    </row>
    <row r="5505" spans="1:6" x14ac:dyDescent="0.2">
      <c r="A5505" t="s">
        <v>5003</v>
      </c>
      <c r="B5505" s="1">
        <v>1466593</v>
      </c>
      <c r="C5505" s="1">
        <v>4911</v>
      </c>
      <c r="D5505" s="2">
        <v>42429</v>
      </c>
      <c r="E5505" s="1" t="s">
        <v>18</v>
      </c>
      <c r="F5505" t="str">
        <f>HYPERLINK("http://www.sec.gov/Archives/edgar/data/1466593/0001571049-16-012346-index.html")</f>
        <v>http://www.sec.gov/Archives/edgar/data/1466593/0001571049-16-012346-index.html</v>
      </c>
    </row>
    <row r="5506" spans="1:6" x14ac:dyDescent="0.2">
      <c r="A5506" t="s">
        <v>5004</v>
      </c>
      <c r="B5506" s="1">
        <v>1467076</v>
      </c>
      <c r="C5506" s="1">
        <v>6798</v>
      </c>
      <c r="D5506" s="2">
        <v>42429</v>
      </c>
      <c r="E5506" s="1" t="s">
        <v>18</v>
      </c>
      <c r="F5506" t="str">
        <f>HYPERLINK("http://www.sec.gov/Archives/edgar/data/1467076/0001467076-16-000033-index.html")</f>
        <v>http://www.sec.gov/Archives/edgar/data/1467076/0001467076-16-000033-index.html</v>
      </c>
    </row>
    <row r="5507" spans="1:6" x14ac:dyDescent="0.2">
      <c r="A5507" t="s">
        <v>5005</v>
      </c>
      <c r="B5507" s="1">
        <v>1471265</v>
      </c>
      <c r="C5507" s="1">
        <v>6021</v>
      </c>
      <c r="D5507" s="2">
        <v>42429</v>
      </c>
      <c r="E5507" s="1" t="s">
        <v>18</v>
      </c>
      <c r="F5507" t="str">
        <f>HYPERLINK("http://www.sec.gov/Archives/edgar/data/1471265/0001471265-16-000006-index.html")</f>
        <v>http://www.sec.gov/Archives/edgar/data/1471265/0001471265-16-000006-index.html</v>
      </c>
    </row>
    <row r="5508" spans="1:6" x14ac:dyDescent="0.2">
      <c r="A5508" t="s">
        <v>5006</v>
      </c>
      <c r="B5508" s="1">
        <v>1475841</v>
      </c>
      <c r="C5508" s="1">
        <v>6021</v>
      </c>
      <c r="D5508" s="2">
        <v>42429</v>
      </c>
      <c r="E5508" s="1" t="s">
        <v>18</v>
      </c>
      <c r="F5508" t="str">
        <f>HYPERLINK("http://www.sec.gov/Archives/edgar/data/1475841/0001558370-16-003670-index.html")</f>
        <v>http://www.sec.gov/Archives/edgar/data/1475841/0001558370-16-003670-index.html</v>
      </c>
    </row>
    <row r="5509" spans="1:6" x14ac:dyDescent="0.2">
      <c r="A5509" t="s">
        <v>3119</v>
      </c>
      <c r="B5509" s="1">
        <v>1476045</v>
      </c>
      <c r="C5509" s="1">
        <v>6798</v>
      </c>
      <c r="D5509" s="2">
        <v>42429</v>
      </c>
      <c r="E5509" s="1" t="s">
        <v>18</v>
      </c>
      <c r="F5509" t="str">
        <f>HYPERLINK("http://www.sec.gov/Archives/edgar/data/1476045/0001476045-16-000096-index.html")</f>
        <v>http://www.sec.gov/Archives/edgar/data/1476045/0001476045-16-000096-index.html</v>
      </c>
    </row>
    <row r="5510" spans="1:6" x14ac:dyDescent="0.2">
      <c r="A5510" t="s">
        <v>5007</v>
      </c>
      <c r="B5510" s="1">
        <v>1483386</v>
      </c>
      <c r="C5510" s="1">
        <v>6221</v>
      </c>
      <c r="D5510" s="2">
        <v>42429</v>
      </c>
      <c r="E5510" s="1" t="s">
        <v>18</v>
      </c>
      <c r="F5510" t="str">
        <f>HYPERLINK("http://www.sec.gov/Archives/edgar/data/1483386/0001483386-16-000021-index.html")</f>
        <v>http://www.sec.gov/Archives/edgar/data/1483386/0001483386-16-000021-index.html</v>
      </c>
    </row>
    <row r="5511" spans="1:6" x14ac:dyDescent="0.2">
      <c r="A5511" t="s">
        <v>5008</v>
      </c>
      <c r="B5511" s="1">
        <v>1485469</v>
      </c>
      <c r="C5511" s="1">
        <v>3714</v>
      </c>
      <c r="D5511" s="2">
        <v>42429</v>
      </c>
      <c r="E5511" s="1" t="s">
        <v>18</v>
      </c>
      <c r="F5511" t="str">
        <f>HYPERLINK("http://www.sec.gov/Archives/edgar/data/1485469/0001144204-16-084980-index.html")</f>
        <v>http://www.sec.gov/Archives/edgar/data/1485469/0001144204-16-084980-index.html</v>
      </c>
    </row>
    <row r="5512" spans="1:6" x14ac:dyDescent="0.2">
      <c r="A5512" t="s">
        <v>5009</v>
      </c>
      <c r="B5512" s="1">
        <v>1489024</v>
      </c>
      <c r="C5512" s="1">
        <v>6221</v>
      </c>
      <c r="D5512" s="2">
        <v>42429</v>
      </c>
      <c r="E5512" s="1" t="s">
        <v>18</v>
      </c>
      <c r="F5512" t="str">
        <f>HYPERLINK("http://www.sec.gov/Archives/edgar/data/1489024/0001489024-16-000031-index.html")</f>
        <v>http://www.sec.gov/Archives/edgar/data/1489024/0001489024-16-000031-index.html</v>
      </c>
    </row>
    <row r="5513" spans="1:6" x14ac:dyDescent="0.2">
      <c r="A5513" t="s">
        <v>5010</v>
      </c>
      <c r="B5513" s="1">
        <v>1489902</v>
      </c>
      <c r="C5513" s="1">
        <v>2000</v>
      </c>
      <c r="D5513" s="2">
        <v>42429</v>
      </c>
      <c r="E5513" s="1" t="s">
        <v>18</v>
      </c>
      <c r="F5513" t="str">
        <f>HYPERLINK("http://www.sec.gov/Archives/edgar/data/1489902/0001511164-16-000664-index.html")</f>
        <v>http://www.sec.gov/Archives/edgar/data/1489902/0001511164-16-000664-index.html</v>
      </c>
    </row>
    <row r="5514" spans="1:6" x14ac:dyDescent="0.2">
      <c r="A5514" t="s">
        <v>5011</v>
      </c>
      <c r="B5514" s="1">
        <v>1491576</v>
      </c>
      <c r="C5514" s="1">
        <v>2834</v>
      </c>
      <c r="D5514" s="2">
        <v>42429</v>
      </c>
      <c r="E5514" s="1" t="s">
        <v>18</v>
      </c>
      <c r="F5514" t="str">
        <f>HYPERLINK("http://www.sec.gov/Archives/edgar/data/1491576/0001558370-16-003631-index.html")</f>
        <v>http://www.sec.gov/Archives/edgar/data/1491576/0001558370-16-003631-index.html</v>
      </c>
    </row>
    <row r="5515" spans="1:6" x14ac:dyDescent="0.2">
      <c r="A5515" t="s">
        <v>5012</v>
      </c>
      <c r="B5515" s="1">
        <v>1492426</v>
      </c>
      <c r="C5515" s="1">
        <v>2834</v>
      </c>
      <c r="D5515" s="2">
        <v>42429</v>
      </c>
      <c r="E5515" s="1" t="s">
        <v>18</v>
      </c>
      <c r="F5515" t="str">
        <f>HYPERLINK("http://www.sec.gov/Archives/edgar/data/1492426/0001564590-16-013652-index.html")</f>
        <v>http://www.sec.gov/Archives/edgar/data/1492426/0001564590-16-013652-index.html</v>
      </c>
    </row>
    <row r="5516" spans="1:6" x14ac:dyDescent="0.2">
      <c r="A5516" t="s">
        <v>5013</v>
      </c>
      <c r="B5516" s="1">
        <v>1492869</v>
      </c>
      <c r="C5516" s="1">
        <v>6798</v>
      </c>
      <c r="D5516" s="2">
        <v>42429</v>
      </c>
      <c r="E5516" s="1" t="s">
        <v>18</v>
      </c>
      <c r="F5516" t="str">
        <f>HYPERLINK("http://www.sec.gov/Archives/edgar/data/1492869/0001040971-16-000016-index.html")</f>
        <v>http://www.sec.gov/Archives/edgar/data/1492869/0001040971-16-000016-index.html</v>
      </c>
    </row>
    <row r="5517" spans="1:6" x14ac:dyDescent="0.2">
      <c r="A5517" t="s">
        <v>598</v>
      </c>
      <c r="B5517" s="1">
        <v>1494877</v>
      </c>
      <c r="C5517" s="1">
        <v>6500</v>
      </c>
      <c r="D5517" s="2">
        <v>42429</v>
      </c>
      <c r="E5517" s="1" t="s">
        <v>18</v>
      </c>
      <c r="F5517" t="str">
        <f>HYPERLINK("http://www.sec.gov/Archives/edgar/data/1494877/0001297996-16-000124-index.html")</f>
        <v>http://www.sec.gov/Archives/edgar/data/1494877/0001297996-16-000124-index.html</v>
      </c>
    </row>
    <row r="5518" spans="1:6" x14ac:dyDescent="0.2">
      <c r="A5518" t="s">
        <v>5014</v>
      </c>
      <c r="B5518" s="1">
        <v>1495479</v>
      </c>
      <c r="C5518" s="1">
        <v>5812</v>
      </c>
      <c r="D5518" s="2">
        <v>42429</v>
      </c>
      <c r="E5518" s="1" t="s">
        <v>18</v>
      </c>
      <c r="F5518" t="str">
        <f>HYPERLINK("http://www.sec.gov/Archives/edgar/data/1495479/0001495479-16-000053-index.html")</f>
        <v>http://www.sec.gov/Archives/edgar/data/1495479/0001495479-16-000053-index.html</v>
      </c>
    </row>
    <row r="5519" spans="1:6" x14ac:dyDescent="0.2">
      <c r="A5519" t="s">
        <v>5015</v>
      </c>
      <c r="B5519" s="1">
        <v>1496099</v>
      </c>
      <c r="C5519" s="1">
        <v>5812</v>
      </c>
      <c r="D5519" s="2">
        <v>42429</v>
      </c>
      <c r="E5519" s="1" t="s">
        <v>18</v>
      </c>
      <c r="F5519" t="str">
        <f>HYPERLINK("http://www.sec.gov/Archives/edgar/data/1496099/0001496099-16-000008-index.html")</f>
        <v>http://www.sec.gov/Archives/edgar/data/1496099/0001496099-16-000008-index.html</v>
      </c>
    </row>
    <row r="5520" spans="1:6" x14ac:dyDescent="0.2">
      <c r="A5520" t="s">
        <v>5016</v>
      </c>
      <c r="B5520" s="1">
        <v>1498828</v>
      </c>
      <c r="C5520" s="1">
        <v>6798</v>
      </c>
      <c r="D5520" s="2">
        <v>42429</v>
      </c>
      <c r="E5520" s="1" t="s">
        <v>18</v>
      </c>
      <c r="F5520" t="str">
        <f>HYPERLINK("http://www.sec.gov/Archives/edgar/data/1498828/0001558370-16-003656-index.html")</f>
        <v>http://www.sec.gov/Archives/edgar/data/1498828/0001558370-16-003656-index.html</v>
      </c>
    </row>
    <row r="5521" spans="1:6" x14ac:dyDescent="0.2">
      <c r="A5521" t="s">
        <v>5017</v>
      </c>
      <c r="B5521" s="1">
        <v>1500435</v>
      </c>
      <c r="C5521" s="1">
        <v>3861</v>
      </c>
      <c r="D5521" s="2">
        <v>42429</v>
      </c>
      <c r="E5521" s="1" t="s">
        <v>18</v>
      </c>
      <c r="F5521" t="str">
        <f>HYPERLINK("http://www.sec.gov/Archives/edgar/data/1500435/0001500435-16-000063-index.html")</f>
        <v>http://www.sec.gov/Archives/edgar/data/1500435/0001500435-16-000063-index.html</v>
      </c>
    </row>
    <row r="5522" spans="1:6" x14ac:dyDescent="0.2">
      <c r="A5522" t="s">
        <v>5018</v>
      </c>
      <c r="B5522" s="1">
        <v>1503579</v>
      </c>
      <c r="C5522" s="1">
        <v>7011</v>
      </c>
      <c r="D5522" s="2">
        <v>42429</v>
      </c>
      <c r="E5522" s="1" t="s">
        <v>18</v>
      </c>
      <c r="F5522" t="str">
        <f>HYPERLINK("http://www.sec.gov/Archives/edgar/data/1503579/0001503579-16-000037-index.html")</f>
        <v>http://www.sec.gov/Archives/edgar/data/1503579/0001503579-16-000037-index.html</v>
      </c>
    </row>
    <row r="5523" spans="1:6" x14ac:dyDescent="0.2">
      <c r="A5523" t="s">
        <v>5019</v>
      </c>
      <c r="B5523" s="1">
        <v>1509589</v>
      </c>
      <c r="C5523" s="1">
        <v>1311</v>
      </c>
      <c r="D5523" s="2">
        <v>42429</v>
      </c>
      <c r="E5523" s="1" t="s">
        <v>18</v>
      </c>
      <c r="F5523" t="str">
        <f>HYPERLINK("http://www.sec.gov/Archives/edgar/data/1509589/0001509589-16-000016-index.html")</f>
        <v>http://www.sec.gov/Archives/edgar/data/1509589/0001509589-16-000016-index.html</v>
      </c>
    </row>
    <row r="5524" spans="1:6" x14ac:dyDescent="0.2">
      <c r="A5524" t="s">
        <v>5020</v>
      </c>
      <c r="B5524" s="1">
        <v>1510580</v>
      </c>
      <c r="C5524" s="1">
        <v>2836</v>
      </c>
      <c r="D5524" s="2">
        <v>42429</v>
      </c>
      <c r="E5524" s="1" t="s">
        <v>18</v>
      </c>
      <c r="F5524" t="str">
        <f>HYPERLINK("http://www.sec.gov/Archives/edgar/data/1510580/0001564590-16-013699-index.html")</f>
        <v>http://www.sec.gov/Archives/edgar/data/1510580/0001564590-16-013699-index.html</v>
      </c>
    </row>
    <row r="5525" spans="1:6" x14ac:dyDescent="0.2">
      <c r="A5525" t="s">
        <v>5021</v>
      </c>
      <c r="B5525" s="1">
        <v>1512762</v>
      </c>
      <c r="C5525" s="1">
        <v>2836</v>
      </c>
      <c r="D5525" s="2">
        <v>42429</v>
      </c>
      <c r="E5525" s="1" t="s">
        <v>18</v>
      </c>
      <c r="F5525" t="str">
        <f>HYPERLINK("http://www.sec.gov/Archives/edgar/data/1512762/0001564590-16-013726-index.html")</f>
        <v>http://www.sec.gov/Archives/edgar/data/1512762/0001564590-16-013726-index.html</v>
      </c>
    </row>
    <row r="5526" spans="1:6" x14ac:dyDescent="0.2">
      <c r="A5526" t="s">
        <v>5022</v>
      </c>
      <c r="B5526" s="1">
        <v>1513761</v>
      </c>
      <c r="C5526" s="1">
        <v>4400</v>
      </c>
      <c r="D5526" s="2">
        <v>42429</v>
      </c>
      <c r="E5526" s="1" t="s">
        <v>18</v>
      </c>
      <c r="F5526" t="str">
        <f>HYPERLINK("http://www.sec.gov/Archives/edgar/data/1513761/0001571049-16-012414-index.html")</f>
        <v>http://www.sec.gov/Archives/edgar/data/1513761/0001571049-16-012414-index.html</v>
      </c>
    </row>
    <row r="5527" spans="1:6" x14ac:dyDescent="0.2">
      <c r="A5527" t="s">
        <v>1635</v>
      </c>
      <c r="B5527" s="1">
        <v>1515156</v>
      </c>
      <c r="C5527" s="1">
        <v>2890</v>
      </c>
      <c r="D5527" s="2">
        <v>42429</v>
      </c>
      <c r="E5527" s="1" t="s">
        <v>18</v>
      </c>
      <c r="F5527" t="str">
        <f>HYPERLINK("http://www.sec.gov/Archives/edgar/data/1515156/0001515156-16-000064-index.html")</f>
        <v>http://www.sec.gov/Archives/edgar/data/1515156/0001515156-16-000064-index.html</v>
      </c>
    </row>
    <row r="5528" spans="1:6" x14ac:dyDescent="0.2">
      <c r="A5528" t="s">
        <v>5023</v>
      </c>
      <c r="B5528" s="1">
        <v>1516479</v>
      </c>
      <c r="C5528" s="1">
        <v>2834</v>
      </c>
      <c r="D5528" s="2">
        <v>42429</v>
      </c>
      <c r="E5528" s="1" t="s">
        <v>18</v>
      </c>
      <c r="F5528" t="str">
        <f>HYPERLINK("http://www.sec.gov/Archives/edgar/data/1516479/0001437749-16-026220-index.html")</f>
        <v>http://www.sec.gov/Archives/edgar/data/1516479/0001437749-16-026220-index.html</v>
      </c>
    </row>
    <row r="5529" spans="1:6" x14ac:dyDescent="0.2">
      <c r="A5529" t="s">
        <v>5024</v>
      </c>
      <c r="B5529" s="1">
        <v>1517650</v>
      </c>
      <c r="C5529" s="1">
        <v>7372</v>
      </c>
      <c r="D5529" s="2">
        <v>42429</v>
      </c>
      <c r="E5529" s="1" t="s">
        <v>18</v>
      </c>
      <c r="F5529" t="str">
        <f>HYPERLINK("http://www.sec.gov/Archives/edgar/data/1517650/0001517650-16-000118-index.html")</f>
        <v>http://www.sec.gov/Archives/edgar/data/1517650/0001517650-16-000118-index.html</v>
      </c>
    </row>
    <row r="5530" spans="1:6" x14ac:dyDescent="0.2">
      <c r="A5530" t="s">
        <v>5025</v>
      </c>
      <c r="B5530" s="1">
        <v>1520006</v>
      </c>
      <c r="C5530" s="1">
        <v>1311</v>
      </c>
      <c r="D5530" s="2">
        <v>42429</v>
      </c>
      <c r="E5530" s="1" t="s">
        <v>18</v>
      </c>
      <c r="F5530" t="str">
        <f>HYPERLINK("http://www.sec.gov/Archives/edgar/data/1520006/0001520006-16-000245-index.html")</f>
        <v>http://www.sec.gov/Archives/edgar/data/1520006/0001520006-16-000245-index.html</v>
      </c>
    </row>
    <row r="5531" spans="1:6" x14ac:dyDescent="0.2">
      <c r="A5531" t="s">
        <v>5026</v>
      </c>
      <c r="B5531" s="1">
        <v>1523404</v>
      </c>
      <c r="C5531" s="1">
        <v>5171</v>
      </c>
      <c r="D5531" s="2">
        <v>42429</v>
      </c>
      <c r="E5531" s="1" t="s">
        <v>18</v>
      </c>
      <c r="F5531" t="str">
        <f>HYPERLINK("http://www.sec.gov/Archives/edgar/data/1523404/0001558370-16-003705-index.html")</f>
        <v>http://www.sec.gov/Archives/edgar/data/1523404/0001558370-16-003705-index.html</v>
      </c>
    </row>
    <row r="5532" spans="1:6" x14ac:dyDescent="0.2">
      <c r="A5532" t="s">
        <v>5027</v>
      </c>
      <c r="B5532" s="1">
        <v>1524607</v>
      </c>
      <c r="C5532" s="1">
        <v>6798</v>
      </c>
      <c r="D5532" s="2">
        <v>42429</v>
      </c>
      <c r="E5532" s="1" t="s">
        <v>18</v>
      </c>
      <c r="F5532" t="str">
        <f>HYPERLINK("http://www.sec.gov/Archives/edgar/data/1524607/0001193125-16-485612-index.html")</f>
        <v>http://www.sec.gov/Archives/edgar/data/1524607/0001193125-16-485612-index.html</v>
      </c>
    </row>
    <row r="5533" spans="1:6" x14ac:dyDescent="0.2">
      <c r="A5533" t="s">
        <v>5028</v>
      </c>
      <c r="B5533" s="1">
        <v>1525221</v>
      </c>
      <c r="C5533" s="1">
        <v>4522</v>
      </c>
      <c r="D5533" s="2">
        <v>42429</v>
      </c>
      <c r="E5533" s="1" t="s">
        <v>42</v>
      </c>
      <c r="F5533" t="str">
        <f>HYPERLINK("http://www.sec.gov/Archives/edgar/data/1525221/0001525221-16-000088-index.html")</f>
        <v>http://www.sec.gov/Archives/edgar/data/1525221/0001525221-16-000088-index.html</v>
      </c>
    </row>
    <row r="5534" spans="1:6" x14ac:dyDescent="0.2">
      <c r="A5534" t="s">
        <v>5029</v>
      </c>
      <c r="B5534" s="1">
        <v>1527709</v>
      </c>
      <c r="C5534" s="1">
        <v>1311</v>
      </c>
      <c r="D5534" s="2">
        <v>42429</v>
      </c>
      <c r="E5534" s="1" t="s">
        <v>18</v>
      </c>
      <c r="F5534" t="str">
        <f>HYPERLINK("http://www.sec.gov/Archives/edgar/data/1527709/0001527709-16-000075-index.html")</f>
        <v>http://www.sec.gov/Archives/edgar/data/1527709/0001527709-16-000075-index.html</v>
      </c>
    </row>
    <row r="5535" spans="1:6" x14ac:dyDescent="0.2">
      <c r="A5535" t="s">
        <v>5030</v>
      </c>
      <c r="B5535" s="1">
        <v>1528837</v>
      </c>
      <c r="C5535" s="1">
        <v>1311</v>
      </c>
      <c r="D5535" s="2">
        <v>42429</v>
      </c>
      <c r="E5535" s="1" t="s">
        <v>18</v>
      </c>
      <c r="F5535" t="str">
        <f>HYPERLINK("http://www.sec.gov/Archives/edgar/data/1528837/0001558370-16-003707-index.html")</f>
        <v>http://www.sec.gov/Archives/edgar/data/1528837/0001558370-16-003707-index.html</v>
      </c>
    </row>
    <row r="5536" spans="1:6" x14ac:dyDescent="0.2">
      <c r="A5536" t="s">
        <v>5031</v>
      </c>
      <c r="B5536" s="1">
        <v>1534504</v>
      </c>
      <c r="C5536" s="1">
        <v>2911</v>
      </c>
      <c r="D5536" s="2">
        <v>42429</v>
      </c>
      <c r="E5536" s="1" t="s">
        <v>18</v>
      </c>
      <c r="F5536" t="str">
        <f>HYPERLINK("http://www.sec.gov/Archives/edgar/data/1534504/0001534504-16-000118-index.html")</f>
        <v>http://www.sec.gov/Archives/edgar/data/1534504/0001534504-16-000118-index.html</v>
      </c>
    </row>
    <row r="5537" spans="1:6" x14ac:dyDescent="0.2">
      <c r="A5537" t="s">
        <v>5032</v>
      </c>
      <c r="B5537" s="1">
        <v>1535365</v>
      </c>
      <c r="C5537" s="1">
        <v>6221</v>
      </c>
      <c r="D5537" s="2">
        <v>42429</v>
      </c>
      <c r="E5537" s="1" t="s">
        <v>18</v>
      </c>
      <c r="F5537" t="str">
        <f>HYPERLINK("http://www.sec.gov/Archives/edgar/data/1535365/0001437749-16-026371-index.html")</f>
        <v>http://www.sec.gov/Archives/edgar/data/1535365/0001437749-16-026371-index.html</v>
      </c>
    </row>
    <row r="5538" spans="1:6" x14ac:dyDescent="0.2">
      <c r="A5538" t="s">
        <v>5033</v>
      </c>
      <c r="B5538" s="1">
        <v>1545654</v>
      </c>
      <c r="C5538" s="1">
        <v>6500</v>
      </c>
      <c r="D5538" s="2">
        <v>42429</v>
      </c>
      <c r="E5538" s="1" t="s">
        <v>18</v>
      </c>
      <c r="F5538" t="str">
        <f>HYPERLINK("http://www.sec.gov/Archives/edgar/data/1545654/0001545654-16-000058-index.html")</f>
        <v>http://www.sec.gov/Archives/edgar/data/1545654/0001545654-16-000058-index.html</v>
      </c>
    </row>
    <row r="5539" spans="1:6" x14ac:dyDescent="0.2">
      <c r="A5539" t="s">
        <v>5034</v>
      </c>
      <c r="B5539" s="1">
        <v>1549922</v>
      </c>
      <c r="C5539" s="1">
        <v>4922</v>
      </c>
      <c r="D5539" s="2">
        <v>42429</v>
      </c>
      <c r="E5539" s="1" t="s">
        <v>18</v>
      </c>
      <c r="F5539" t="str">
        <f>HYPERLINK("http://www.sec.gov/Archives/edgar/data/1549922/0001549922-16-000114-index.html")</f>
        <v>http://www.sec.gov/Archives/edgar/data/1549922/0001549922-16-000114-index.html</v>
      </c>
    </row>
    <row r="5540" spans="1:6" x14ac:dyDescent="0.2">
      <c r="A5540" t="s">
        <v>5035</v>
      </c>
      <c r="B5540" s="1">
        <v>15511</v>
      </c>
      <c r="C5540" s="1">
        <v>4011</v>
      </c>
      <c r="D5540" s="2">
        <v>42429</v>
      </c>
      <c r="E5540" s="1" t="s">
        <v>18</v>
      </c>
      <c r="F5540" t="str">
        <f>HYPERLINK("http://www.sec.gov/Archives/edgar/data/15511/0000015511-16-000027-index.html")</f>
        <v>http://www.sec.gov/Archives/edgar/data/15511/0000015511-16-000027-index.html</v>
      </c>
    </row>
    <row r="5541" spans="1:6" x14ac:dyDescent="0.2">
      <c r="A5541" t="s">
        <v>5036</v>
      </c>
      <c r="B5541" s="1">
        <v>1552797</v>
      </c>
      <c r="C5541" s="1">
        <v>4610</v>
      </c>
      <c r="D5541" s="2">
        <v>42429</v>
      </c>
      <c r="E5541" s="1" t="s">
        <v>18</v>
      </c>
      <c r="F5541" t="str">
        <f>HYPERLINK("http://www.sec.gov/Archives/edgar/data/1552797/0001552797-16-000106-index.html")</f>
        <v>http://www.sec.gov/Archives/edgar/data/1552797/0001552797-16-000106-index.html</v>
      </c>
    </row>
    <row r="5542" spans="1:6" x14ac:dyDescent="0.2">
      <c r="A5542" t="s">
        <v>5037</v>
      </c>
      <c r="B5542" s="1">
        <v>1555039</v>
      </c>
      <c r="C5542" s="1">
        <v>6500</v>
      </c>
      <c r="D5542" s="2">
        <v>42429</v>
      </c>
      <c r="E5542" s="1" t="s">
        <v>18</v>
      </c>
      <c r="F5542" t="str">
        <f>HYPERLINK("http://www.sec.gov/Archives/edgar/data/1555039/0001555039-16-000078-index.html")</f>
        <v>http://www.sec.gov/Archives/edgar/data/1555039/0001555039-16-000078-index.html</v>
      </c>
    </row>
    <row r="5543" spans="1:6" x14ac:dyDescent="0.2">
      <c r="A5543" t="s">
        <v>5038</v>
      </c>
      <c r="B5543" s="1">
        <v>1555074</v>
      </c>
      <c r="C5543" s="1">
        <v>6500</v>
      </c>
      <c r="D5543" s="2">
        <v>42429</v>
      </c>
      <c r="E5543" s="1" t="s">
        <v>18</v>
      </c>
      <c r="F5543" t="str">
        <f>HYPERLINK("http://www.sec.gov/Archives/edgar/data/1555074/0001555074-16-000051-index.html")</f>
        <v>http://www.sec.gov/Archives/edgar/data/1555074/0001555074-16-000051-index.html</v>
      </c>
    </row>
    <row r="5544" spans="1:6" x14ac:dyDescent="0.2">
      <c r="A5544" t="s">
        <v>5039</v>
      </c>
      <c r="B5544" s="1">
        <v>1555177</v>
      </c>
      <c r="C5544" s="1">
        <v>1389</v>
      </c>
      <c r="D5544" s="2">
        <v>42429</v>
      </c>
      <c r="E5544" s="1" t="s">
        <v>18</v>
      </c>
      <c r="F5544" t="str">
        <f>HYPERLINK("http://www.sec.gov/Archives/edgar/data/1555177/0001628280-16-012000-index.html")</f>
        <v>http://www.sec.gov/Archives/edgar/data/1555177/0001628280-16-012000-index.html</v>
      </c>
    </row>
    <row r="5545" spans="1:6" x14ac:dyDescent="0.2">
      <c r="A5545" t="s">
        <v>5040</v>
      </c>
      <c r="B5545" s="1">
        <v>1555365</v>
      </c>
      <c r="C5545" s="1">
        <v>2020</v>
      </c>
      <c r="D5545" s="2">
        <v>42429</v>
      </c>
      <c r="E5545" s="1" t="s">
        <v>18</v>
      </c>
      <c r="F5545" t="str">
        <f>HYPERLINK("http://www.sec.gov/Archives/edgar/data/1555365/0001555365-16-000038-index.html")</f>
        <v>http://www.sec.gov/Archives/edgar/data/1555365/0001555365-16-000038-index.html</v>
      </c>
    </row>
    <row r="5546" spans="1:6" x14ac:dyDescent="0.2">
      <c r="A5546" t="s">
        <v>5041</v>
      </c>
      <c r="B5546" s="1">
        <v>1561164</v>
      </c>
      <c r="C5546" s="1">
        <v>6798</v>
      </c>
      <c r="D5546" s="2">
        <v>42429</v>
      </c>
      <c r="E5546" s="1" t="s">
        <v>18</v>
      </c>
      <c r="F5546" t="str">
        <f>HYPERLINK("http://www.sec.gov/Archives/edgar/data/1561164/0001144204-16-084912-index.html")</f>
        <v>http://www.sec.gov/Archives/edgar/data/1561164/0001144204-16-084912-index.html</v>
      </c>
    </row>
    <row r="5547" spans="1:6" x14ac:dyDescent="0.2">
      <c r="A5547" t="s">
        <v>5042</v>
      </c>
      <c r="B5547" s="1">
        <v>1561660</v>
      </c>
      <c r="C5547" s="1">
        <v>4911</v>
      </c>
      <c r="D5547" s="2">
        <v>42429</v>
      </c>
      <c r="E5547" s="1" t="s">
        <v>18</v>
      </c>
      <c r="F5547" t="str">
        <f>HYPERLINK("http://www.sec.gov/Archives/edgar/data/1561660/0001628280-16-011961-index.html")</f>
        <v>http://www.sec.gov/Archives/edgar/data/1561660/0001628280-16-011961-index.html</v>
      </c>
    </row>
    <row r="5548" spans="1:6" x14ac:dyDescent="0.2">
      <c r="A5548" t="s">
        <v>973</v>
      </c>
      <c r="B5548" s="1">
        <v>1566897</v>
      </c>
      <c r="C5548" s="1">
        <v>7011</v>
      </c>
      <c r="D5548" s="2">
        <v>42429</v>
      </c>
      <c r="E5548" s="1" t="s">
        <v>18</v>
      </c>
      <c r="F5548" t="str">
        <f>HYPERLINK("http://www.sec.gov/Archives/edgar/data/1566897/0001566897-16-000080-index.html")</f>
        <v>http://www.sec.gov/Archives/edgar/data/1566897/0001566897-16-000080-index.html</v>
      </c>
    </row>
    <row r="5549" spans="1:6" x14ac:dyDescent="0.2">
      <c r="A5549" t="s">
        <v>2727</v>
      </c>
      <c r="B5549" s="1">
        <v>1567683</v>
      </c>
      <c r="C5549" s="1">
        <v>4911</v>
      </c>
      <c r="D5549" s="2">
        <v>42429</v>
      </c>
      <c r="E5549" s="1" t="s">
        <v>18</v>
      </c>
      <c r="F5549" t="str">
        <f>HYPERLINK("http://www.sec.gov/Archives/edgar/data/1567683/0001567683-16-000031-index.html")</f>
        <v>http://www.sec.gov/Archives/edgar/data/1567683/0001567683-16-000031-index.html</v>
      </c>
    </row>
    <row r="5550" spans="1:6" x14ac:dyDescent="0.2">
      <c r="A5550" t="s">
        <v>5043</v>
      </c>
      <c r="B5550" s="1">
        <v>1569391</v>
      </c>
      <c r="C5550" s="1">
        <v>6211</v>
      </c>
      <c r="D5550" s="2">
        <v>42429</v>
      </c>
      <c r="E5550" s="1" t="s">
        <v>18</v>
      </c>
      <c r="F5550" t="str">
        <f>HYPERLINK("http://www.sec.gov/Archives/edgar/data/1569391/0001569391-16-000018-index.html")</f>
        <v>http://www.sec.gov/Archives/edgar/data/1569391/0001569391-16-000018-index.html</v>
      </c>
    </row>
    <row r="5551" spans="1:6" x14ac:dyDescent="0.2">
      <c r="A5551" t="s">
        <v>5044</v>
      </c>
      <c r="B5551" s="1">
        <v>1574540</v>
      </c>
      <c r="C5551" s="1">
        <v>6798</v>
      </c>
      <c r="D5551" s="2">
        <v>42429</v>
      </c>
      <c r="E5551" s="1" t="s">
        <v>18</v>
      </c>
      <c r="F5551" t="str">
        <f>HYPERLINK("http://www.sec.gov/Archives/edgar/data/1574540/0001574540-16-000065-index.html")</f>
        <v>http://www.sec.gov/Archives/edgar/data/1574540/0001574540-16-000065-index.html</v>
      </c>
    </row>
    <row r="5552" spans="1:6" x14ac:dyDescent="0.2">
      <c r="A5552" t="s">
        <v>5045</v>
      </c>
      <c r="B5552" s="1">
        <v>1575828</v>
      </c>
      <c r="C5552" s="1">
        <v>1389</v>
      </c>
      <c r="D5552" s="2">
        <v>42429</v>
      </c>
      <c r="E5552" s="1" t="s">
        <v>18</v>
      </c>
      <c r="F5552" t="str">
        <f>HYPERLINK("http://www.sec.gov/Archives/edgar/data/1575828/0001575828-16-000041-index.html")</f>
        <v>http://www.sec.gov/Archives/edgar/data/1575828/0001575828-16-000041-index.html</v>
      </c>
    </row>
    <row r="5553" spans="1:6" x14ac:dyDescent="0.2">
      <c r="A5553" t="s">
        <v>5046</v>
      </c>
      <c r="B5553" s="1">
        <v>1575879</v>
      </c>
      <c r="C5553" s="1">
        <v>7011</v>
      </c>
      <c r="D5553" s="2">
        <v>42429</v>
      </c>
      <c r="E5553" s="1" t="s">
        <v>18</v>
      </c>
      <c r="F5553" t="str">
        <f>HYPERLINK("http://www.sec.gov/Archives/edgar/data/1575879/0001575879-16-000088-index.html")</f>
        <v>http://www.sec.gov/Archives/edgar/data/1575879/0001575879-16-000088-index.html</v>
      </c>
    </row>
    <row r="5554" spans="1:6" x14ac:dyDescent="0.2">
      <c r="A5554" t="s">
        <v>5047</v>
      </c>
      <c r="B5554" s="1">
        <v>1576427</v>
      </c>
      <c r="C5554" s="1">
        <v>7311</v>
      </c>
      <c r="D5554" s="2">
        <v>42429</v>
      </c>
      <c r="E5554" s="1" t="s">
        <v>18</v>
      </c>
      <c r="F5554" t="str">
        <f>HYPERLINK("http://www.sec.gov/Archives/edgar/data/1576427/0001576427-16-000149-index.html")</f>
        <v>http://www.sec.gov/Archives/edgar/data/1576427/0001576427-16-000149-index.html</v>
      </c>
    </row>
    <row r="5555" spans="1:6" x14ac:dyDescent="0.2">
      <c r="A5555" t="s">
        <v>5048</v>
      </c>
      <c r="B5555" s="1">
        <v>1577095</v>
      </c>
      <c r="C5555" s="1">
        <v>7997</v>
      </c>
      <c r="D5555" s="2">
        <v>42429</v>
      </c>
      <c r="E5555" s="1" t="s">
        <v>18</v>
      </c>
      <c r="F5555" t="str">
        <f>HYPERLINK("http://www.sec.gov/Archives/edgar/data/1577095/0001577095-16-000171-index.html")</f>
        <v>http://www.sec.gov/Archives/edgar/data/1577095/0001577095-16-000171-index.html</v>
      </c>
    </row>
    <row r="5556" spans="1:6" x14ac:dyDescent="0.2">
      <c r="A5556" t="s">
        <v>5049</v>
      </c>
      <c r="B5556" s="1">
        <v>1577368</v>
      </c>
      <c r="C5556" s="1">
        <v>6798</v>
      </c>
      <c r="D5556" s="2">
        <v>42429</v>
      </c>
      <c r="E5556" s="1" t="s">
        <v>18</v>
      </c>
      <c r="F5556" t="str">
        <f>HYPERLINK("http://www.sec.gov/Archives/edgar/data/1577368/0001144204-16-084912-index.html")</f>
        <v>http://www.sec.gov/Archives/edgar/data/1577368/0001144204-16-084912-index.html</v>
      </c>
    </row>
    <row r="5557" spans="1:6" x14ac:dyDescent="0.2">
      <c r="A5557" t="s">
        <v>5050</v>
      </c>
      <c r="B5557" s="1">
        <v>1578318</v>
      </c>
      <c r="C5557" s="1">
        <v>8062</v>
      </c>
      <c r="D5557" s="2">
        <v>42429</v>
      </c>
      <c r="E5557" s="1" t="s">
        <v>18</v>
      </c>
      <c r="F5557" t="str">
        <f>HYPERLINK("http://www.sec.gov/Archives/edgar/data/1578318/0001558370-16-003692-index.html")</f>
        <v>http://www.sec.gov/Archives/edgar/data/1578318/0001558370-16-003692-index.html</v>
      </c>
    </row>
    <row r="5558" spans="1:6" x14ac:dyDescent="0.2">
      <c r="A5558" t="s">
        <v>5051</v>
      </c>
      <c r="B5558" s="1">
        <v>1578735</v>
      </c>
      <c r="C5558" s="1">
        <v>6331</v>
      </c>
      <c r="D5558" s="2">
        <v>42429</v>
      </c>
      <c r="E5558" s="1" t="s">
        <v>18</v>
      </c>
      <c r="F5558" t="str">
        <f>HYPERLINK("http://www.sec.gov/Archives/edgar/data/1578735/0001578735-16-000091-index.html")</f>
        <v>http://www.sec.gov/Archives/edgar/data/1578735/0001578735-16-000091-index.html</v>
      </c>
    </row>
    <row r="5559" spans="1:6" x14ac:dyDescent="0.2">
      <c r="A5559" t="s">
        <v>5052</v>
      </c>
      <c r="B5559" s="1">
        <v>1579471</v>
      </c>
      <c r="C5559" s="1">
        <v>6798</v>
      </c>
      <c r="D5559" s="2">
        <v>42429</v>
      </c>
      <c r="E5559" s="1" t="s">
        <v>18</v>
      </c>
      <c r="F5559" t="str">
        <f>HYPERLINK("http://www.sec.gov/Archives/edgar/data/1579471/0001564590-16-013749-index.html")</f>
        <v>http://www.sec.gov/Archives/edgar/data/1579471/0001564590-16-013749-index.html</v>
      </c>
    </row>
    <row r="5560" spans="1:6" x14ac:dyDescent="0.2">
      <c r="A5560" t="s">
        <v>5053</v>
      </c>
      <c r="B5560" s="1">
        <v>1579877</v>
      </c>
      <c r="C5560" s="1">
        <v>6798</v>
      </c>
      <c r="D5560" s="2">
        <v>42429</v>
      </c>
      <c r="E5560" s="1" t="s">
        <v>18</v>
      </c>
      <c r="F5560" t="str">
        <f>HYPERLINK("http://www.sec.gov/Archives/edgar/data/1579877/0001579877-16-000199-index.html")</f>
        <v>http://www.sec.gov/Archives/edgar/data/1579877/0001579877-16-000199-index.html</v>
      </c>
    </row>
    <row r="5561" spans="1:6" x14ac:dyDescent="0.2">
      <c r="A5561" t="s">
        <v>5054</v>
      </c>
      <c r="B5561" s="1">
        <v>1581068</v>
      </c>
      <c r="C5561" s="1">
        <v>6798</v>
      </c>
      <c r="D5561" s="2">
        <v>42429</v>
      </c>
      <c r="E5561" s="1" t="s">
        <v>18</v>
      </c>
      <c r="F5561" t="str">
        <f>HYPERLINK("http://www.sec.gov/Archives/edgar/data/1581068/0001581068-16-000101-index.html")</f>
        <v>http://www.sec.gov/Archives/edgar/data/1581068/0001581068-16-000101-index.html</v>
      </c>
    </row>
    <row r="5562" spans="1:6" x14ac:dyDescent="0.2">
      <c r="A5562" t="s">
        <v>5055</v>
      </c>
      <c r="B5562" s="1">
        <v>1584207</v>
      </c>
      <c r="C5562" s="1">
        <v>6141</v>
      </c>
      <c r="D5562" s="2">
        <v>42429</v>
      </c>
      <c r="E5562" s="1" t="s">
        <v>18</v>
      </c>
      <c r="F5562" t="str">
        <f>HYPERLINK("http://www.sec.gov/Archives/edgar/data/1584207/0001584207-16-000065-index.html")</f>
        <v>http://www.sec.gov/Archives/edgar/data/1584207/0001584207-16-000065-index.html</v>
      </c>
    </row>
    <row r="5563" spans="1:6" x14ac:dyDescent="0.2">
      <c r="A5563" t="s">
        <v>5056</v>
      </c>
      <c r="B5563" s="1">
        <v>1593034</v>
      </c>
      <c r="C5563" s="1">
        <v>2834</v>
      </c>
      <c r="D5563" s="2">
        <v>42429</v>
      </c>
      <c r="E5563" s="1" t="s">
        <v>18</v>
      </c>
      <c r="F5563" t="str">
        <f>HYPERLINK("http://www.sec.gov/Archives/edgar/data/1593034/0001593034-16-000051-index.html")</f>
        <v>http://www.sec.gov/Archives/edgar/data/1593034/0001593034-16-000051-index.html</v>
      </c>
    </row>
    <row r="5564" spans="1:6" x14ac:dyDescent="0.2">
      <c r="A5564" t="s">
        <v>5057</v>
      </c>
      <c r="B5564" s="1">
        <v>1594012</v>
      </c>
      <c r="C5564" s="1">
        <v>6022</v>
      </c>
      <c r="D5564" s="2">
        <v>42429</v>
      </c>
      <c r="E5564" s="1" t="s">
        <v>18</v>
      </c>
      <c r="F5564" t="str">
        <f>HYPERLINK("http://www.sec.gov/Archives/edgar/data/1594012/0001594012-16-000121-index.html")</f>
        <v>http://www.sec.gov/Archives/edgar/data/1594012/0001594012-16-000121-index.html</v>
      </c>
    </row>
    <row r="5565" spans="1:6" x14ac:dyDescent="0.2">
      <c r="A5565" t="s">
        <v>5058</v>
      </c>
      <c r="B5565" s="1">
        <v>1594466</v>
      </c>
      <c r="C5565" s="1">
        <v>1311</v>
      </c>
      <c r="D5565" s="2">
        <v>42429</v>
      </c>
      <c r="E5565" s="1" t="s">
        <v>18</v>
      </c>
      <c r="F5565" t="str">
        <f>HYPERLINK("http://www.sec.gov/Archives/edgar/data/1594466/0001564590-16-013674-index.html")</f>
        <v>http://www.sec.gov/Archives/edgar/data/1594466/0001564590-16-013674-index.html</v>
      </c>
    </row>
    <row r="5566" spans="1:6" x14ac:dyDescent="0.2">
      <c r="A5566" t="s">
        <v>5059</v>
      </c>
      <c r="B5566" s="1">
        <v>1594686</v>
      </c>
      <c r="C5566" s="1">
        <v>6798</v>
      </c>
      <c r="D5566" s="2">
        <v>42429</v>
      </c>
      <c r="E5566" s="1" t="s">
        <v>18</v>
      </c>
      <c r="F5566" t="str">
        <f>HYPERLINK("http://www.sec.gov/Archives/edgar/data/1594686/0001594686-16-000041-index.html")</f>
        <v>http://www.sec.gov/Archives/edgar/data/1594686/0001594686-16-000041-index.html</v>
      </c>
    </row>
    <row r="5567" spans="1:6" x14ac:dyDescent="0.2">
      <c r="A5567" t="s">
        <v>5060</v>
      </c>
      <c r="B5567" s="1">
        <v>1594864</v>
      </c>
      <c r="C5567" s="1">
        <v>2836</v>
      </c>
      <c r="D5567" s="2">
        <v>42429</v>
      </c>
      <c r="E5567" s="1" t="s">
        <v>18</v>
      </c>
      <c r="F5567" t="str">
        <f>HYPERLINK("http://www.sec.gov/Archives/edgar/data/1594864/0001193125-16-485620-index.html")</f>
        <v>http://www.sec.gov/Archives/edgar/data/1594864/0001193125-16-485620-index.html</v>
      </c>
    </row>
    <row r="5568" spans="1:6" x14ac:dyDescent="0.2">
      <c r="A5568" t="s">
        <v>5061</v>
      </c>
      <c r="B5568" s="1">
        <v>1597503</v>
      </c>
      <c r="C5568" s="1">
        <v>6500</v>
      </c>
      <c r="D5568" s="2">
        <v>42429</v>
      </c>
      <c r="E5568" s="1" t="s">
        <v>18</v>
      </c>
      <c r="F5568" t="str">
        <f>HYPERLINK("http://www.sec.gov/Archives/edgar/data/1597503/0001597503-16-000050-index.html")</f>
        <v>http://www.sec.gov/Archives/edgar/data/1597503/0001597503-16-000050-index.html</v>
      </c>
    </row>
    <row r="5569" spans="1:6" x14ac:dyDescent="0.2">
      <c r="A5569" t="s">
        <v>5062</v>
      </c>
      <c r="B5569" s="1">
        <v>1597553</v>
      </c>
      <c r="C5569" s="1">
        <v>2834</v>
      </c>
      <c r="D5569" s="2">
        <v>42429</v>
      </c>
      <c r="E5569" s="1" t="s">
        <v>18</v>
      </c>
      <c r="F5569" t="str">
        <f>HYPERLINK("http://www.sec.gov/Archives/edgar/data/1597553/0001193125-16-485683-index.html")</f>
        <v>http://www.sec.gov/Archives/edgar/data/1597553/0001193125-16-485683-index.html</v>
      </c>
    </row>
    <row r="5570" spans="1:6" x14ac:dyDescent="0.2">
      <c r="A5570" t="s">
        <v>5063</v>
      </c>
      <c r="B5570" s="1">
        <v>1598428</v>
      </c>
      <c r="C5570" s="1">
        <v>3312</v>
      </c>
      <c r="D5570" s="2">
        <v>42429</v>
      </c>
      <c r="E5570" s="1" t="s">
        <v>18</v>
      </c>
      <c r="F5570" t="str">
        <f>HYPERLINK("http://www.sec.gov/Archives/edgar/data/1598428/0001598428-16-000075-index.html")</f>
        <v>http://www.sec.gov/Archives/edgar/data/1598428/0001598428-16-000075-index.html</v>
      </c>
    </row>
    <row r="5571" spans="1:6" x14ac:dyDescent="0.2">
      <c r="A5571" t="s">
        <v>2474</v>
      </c>
      <c r="B5571" s="1">
        <v>1602367</v>
      </c>
      <c r="C5571" s="1">
        <v>8060</v>
      </c>
      <c r="D5571" s="2">
        <v>42429</v>
      </c>
      <c r="E5571" s="1" t="s">
        <v>18</v>
      </c>
      <c r="F5571" t="str">
        <f>HYPERLINK("http://www.sec.gov/Archives/edgar/data/1602367/0001558370-16-003672-index.html")</f>
        <v>http://www.sec.gov/Archives/edgar/data/1602367/0001558370-16-003672-index.html</v>
      </c>
    </row>
    <row r="5572" spans="1:6" x14ac:dyDescent="0.2">
      <c r="A5572" t="s">
        <v>5064</v>
      </c>
      <c r="B5572" s="1">
        <v>1606498</v>
      </c>
      <c r="C5572" s="1">
        <v>3842</v>
      </c>
      <c r="D5572" s="2">
        <v>42429</v>
      </c>
      <c r="E5572" s="1" t="s">
        <v>18</v>
      </c>
      <c r="F5572" t="str">
        <f>HYPERLINK("http://www.sec.gov/Archives/edgar/data/1606498/0001606498-16-000044-index.html")</f>
        <v>http://www.sec.gov/Archives/edgar/data/1606498/0001606498-16-000044-index.html</v>
      </c>
    </row>
    <row r="5573" spans="1:6" x14ac:dyDescent="0.2">
      <c r="A5573" t="s">
        <v>5065</v>
      </c>
      <c r="B5573" s="1">
        <v>1607962</v>
      </c>
      <c r="C5573" s="1">
        <v>3842</v>
      </c>
      <c r="D5573" s="2">
        <v>42429</v>
      </c>
      <c r="E5573" s="1" t="s">
        <v>18</v>
      </c>
      <c r="F5573" t="str">
        <f>HYPERLINK("http://www.sec.gov/Archives/edgar/data/1607962/0001607962-16-000007-index.html")</f>
        <v>http://www.sec.gov/Archives/edgar/data/1607962/0001607962-16-000007-index.html</v>
      </c>
    </row>
    <row r="5574" spans="1:6" x14ac:dyDescent="0.2">
      <c r="A5574" t="s">
        <v>5066</v>
      </c>
      <c r="B5574" s="1">
        <v>1609253</v>
      </c>
      <c r="C5574" s="1">
        <v>1311</v>
      </c>
      <c r="D5574" s="2">
        <v>42429</v>
      </c>
      <c r="E5574" s="1" t="s">
        <v>18</v>
      </c>
      <c r="F5574" t="str">
        <f>HYPERLINK("http://www.sec.gov/Archives/edgar/data/1609253/0001609253-16-000194-index.html")</f>
        <v>http://www.sec.gov/Archives/edgar/data/1609253/0001609253-16-000194-index.html</v>
      </c>
    </row>
    <row r="5575" spans="1:6" x14ac:dyDescent="0.2">
      <c r="A5575" t="s">
        <v>5067</v>
      </c>
      <c r="B5575" s="1">
        <v>1610092</v>
      </c>
      <c r="C5575" s="1">
        <v>5912</v>
      </c>
      <c r="D5575" s="2">
        <v>42429</v>
      </c>
      <c r="E5575" s="1" t="s">
        <v>18</v>
      </c>
      <c r="F5575" t="str">
        <f>HYPERLINK("http://www.sec.gov/Archives/edgar/data/1610092/0001104659-16-101031-index.html")</f>
        <v>http://www.sec.gov/Archives/edgar/data/1610092/0001104659-16-101031-index.html</v>
      </c>
    </row>
    <row r="5576" spans="1:6" x14ac:dyDescent="0.2">
      <c r="A5576" t="s">
        <v>5068</v>
      </c>
      <c r="B5576" s="1">
        <v>1610466</v>
      </c>
      <c r="C5576" s="1">
        <v>4610</v>
      </c>
      <c r="D5576" s="2">
        <v>42429</v>
      </c>
      <c r="E5576" s="1" t="s">
        <v>18</v>
      </c>
      <c r="F5576" t="str">
        <f>HYPERLINK("http://www.sec.gov/Archives/edgar/data/1610466/0001564590-16-013599-index.html")</f>
        <v>http://www.sec.gov/Archives/edgar/data/1610466/0001564590-16-013599-index.html</v>
      </c>
    </row>
    <row r="5577" spans="1:6" x14ac:dyDescent="0.2">
      <c r="A5577" t="s">
        <v>5069</v>
      </c>
      <c r="B5577" s="1">
        <v>1610911</v>
      </c>
      <c r="C5577" s="1">
        <v>6798</v>
      </c>
      <c r="D5577" s="2">
        <v>42429</v>
      </c>
      <c r="E5577" s="1" t="s">
        <v>18</v>
      </c>
      <c r="F5577" t="str">
        <f>HYPERLINK("http://www.sec.gov/Archives/edgar/data/1610911/0001594686-16-000041-index.html")</f>
        <v>http://www.sec.gov/Archives/edgar/data/1610911/0001594686-16-000041-index.html</v>
      </c>
    </row>
    <row r="5578" spans="1:6" x14ac:dyDescent="0.2">
      <c r="A5578" t="s">
        <v>5070</v>
      </c>
      <c r="B5578" s="1">
        <v>1610979</v>
      </c>
      <c r="C5578" s="1">
        <v>7011</v>
      </c>
      <c r="D5578" s="2">
        <v>42429</v>
      </c>
      <c r="E5578" s="1" t="s">
        <v>18</v>
      </c>
      <c r="F5578" t="str">
        <f>HYPERLINK("http://www.sec.gov/Archives/edgar/data/1610979/0001610979-16-000033-index.html")</f>
        <v>http://www.sec.gov/Archives/edgar/data/1610979/0001610979-16-000033-index.html</v>
      </c>
    </row>
    <row r="5579" spans="1:6" x14ac:dyDescent="0.2">
      <c r="A5579" t="s">
        <v>5071</v>
      </c>
      <c r="B5579" s="1">
        <v>1614436</v>
      </c>
      <c r="C5579" s="1">
        <v>4512</v>
      </c>
      <c r="D5579" s="2">
        <v>42429</v>
      </c>
      <c r="E5579" s="1" t="s">
        <v>18</v>
      </c>
      <c r="F5579" t="str">
        <f>HYPERLINK("http://www.sec.gov/Archives/edgar/data/1614436/0001193125-16-485622-index.html")</f>
        <v>http://www.sec.gov/Archives/edgar/data/1614436/0001193125-16-485622-index.html</v>
      </c>
    </row>
    <row r="5580" spans="1:6" x14ac:dyDescent="0.2">
      <c r="A5580" t="s">
        <v>5072</v>
      </c>
      <c r="B5580" s="1">
        <v>1615817</v>
      </c>
      <c r="C5580" s="1">
        <v>1389</v>
      </c>
      <c r="D5580" s="2">
        <v>42429</v>
      </c>
      <c r="E5580" s="1" t="s">
        <v>18</v>
      </c>
      <c r="F5580" t="str">
        <f>HYPERLINK("http://www.sec.gov/Archives/edgar/data/1615817/0001615817-16-000014-index.html")</f>
        <v>http://www.sec.gov/Archives/edgar/data/1615817/0001615817-16-000014-index.html</v>
      </c>
    </row>
    <row r="5581" spans="1:6" x14ac:dyDescent="0.2">
      <c r="A5581" t="s">
        <v>5073</v>
      </c>
      <c r="B5581" s="1">
        <v>1616707</v>
      </c>
      <c r="C5581" s="1">
        <v>5961</v>
      </c>
      <c r="D5581" s="2">
        <v>42429</v>
      </c>
      <c r="E5581" s="1" t="s">
        <v>18</v>
      </c>
      <c r="F5581" t="str">
        <f>HYPERLINK("http://www.sec.gov/Archives/edgar/data/1616707/0001616707-16-000017-index.html")</f>
        <v>http://www.sec.gov/Archives/edgar/data/1616707/0001616707-16-000017-index.html</v>
      </c>
    </row>
    <row r="5582" spans="1:6" x14ac:dyDescent="0.2">
      <c r="A5582" t="s">
        <v>5074</v>
      </c>
      <c r="B5582" s="1">
        <v>1616817</v>
      </c>
      <c r="C5582" s="1">
        <v>3714</v>
      </c>
      <c r="D5582" s="2">
        <v>42429</v>
      </c>
      <c r="E5582" s="1" t="s">
        <v>18</v>
      </c>
      <c r="F5582" t="str">
        <f>HYPERLINK("http://www.sec.gov/Archives/edgar/data/1616817/0001564590-16-013736-index.html")</f>
        <v>http://www.sec.gov/Archives/edgar/data/1616817/0001564590-16-013736-index.html</v>
      </c>
    </row>
    <row r="5583" spans="1:6" x14ac:dyDescent="0.2">
      <c r="A5583" t="s">
        <v>5075</v>
      </c>
      <c r="B5583" s="1">
        <v>1616862</v>
      </c>
      <c r="C5583" s="1">
        <v>2851</v>
      </c>
      <c r="D5583" s="2">
        <v>42429</v>
      </c>
      <c r="E5583" s="1" t="s">
        <v>18</v>
      </c>
      <c r="F5583" t="str">
        <f>HYPERLINK("http://www.sec.gov/Archives/edgar/data/1616862/0001616862-16-000044-index.html")</f>
        <v>http://www.sec.gov/Archives/edgar/data/1616862/0001616862-16-000044-index.html</v>
      </c>
    </row>
    <row r="5584" spans="1:6" x14ac:dyDescent="0.2">
      <c r="A5584" t="s">
        <v>5076</v>
      </c>
      <c r="B5584" s="1">
        <v>1619551</v>
      </c>
      <c r="C5584" s="1">
        <v>6770</v>
      </c>
      <c r="D5584" s="2">
        <v>42429</v>
      </c>
      <c r="E5584" s="1" t="s">
        <v>18</v>
      </c>
      <c r="F5584" t="str">
        <f>HYPERLINK("http://www.sec.gov/Archives/edgar/data/1619551/0001615774-16-004346-index.html")</f>
        <v>http://www.sec.gov/Archives/edgar/data/1619551/0001615774-16-004346-index.html</v>
      </c>
    </row>
    <row r="5585" spans="1:6" x14ac:dyDescent="0.2">
      <c r="A5585" t="s">
        <v>5077</v>
      </c>
      <c r="B5585" s="1">
        <v>1622536</v>
      </c>
      <c r="C5585" s="1">
        <v>4911</v>
      </c>
      <c r="D5585" s="2">
        <v>42429</v>
      </c>
      <c r="E5585" s="1" t="s">
        <v>18</v>
      </c>
      <c r="F5585" t="str">
        <f>HYPERLINK("http://www.sec.gov/Archives/edgar/data/1622536/0001622536-16-000111-index.html")</f>
        <v>http://www.sec.gov/Archives/edgar/data/1622536/0001622536-16-000111-index.html</v>
      </c>
    </row>
    <row r="5586" spans="1:6" x14ac:dyDescent="0.2">
      <c r="A5586" t="s">
        <v>5078</v>
      </c>
      <c r="B5586" s="1">
        <v>1626115</v>
      </c>
      <c r="C5586" s="1">
        <v>6282</v>
      </c>
      <c r="D5586" s="2">
        <v>42429</v>
      </c>
      <c r="E5586" s="1" t="s">
        <v>18</v>
      </c>
      <c r="F5586" t="str">
        <f>HYPERLINK("http://www.sec.gov/Archives/edgar/data/1626115/0001564590-16-013745-index.html")</f>
        <v>http://www.sec.gov/Archives/edgar/data/1626115/0001564590-16-013745-index.html</v>
      </c>
    </row>
    <row r="5587" spans="1:6" x14ac:dyDescent="0.2">
      <c r="A5587" t="s">
        <v>5079</v>
      </c>
      <c r="B5587" s="1">
        <v>1628908</v>
      </c>
      <c r="C5587" s="1">
        <v>8741</v>
      </c>
      <c r="D5587" s="2">
        <v>42429</v>
      </c>
      <c r="E5587" s="1" t="s">
        <v>18</v>
      </c>
      <c r="F5587" t="str">
        <f>HYPERLINK("http://www.sec.gov/Archives/edgar/data/1628908/0001628908-16-000030-index.html")</f>
        <v>http://www.sec.gov/Archives/edgar/data/1628908/0001628908-16-000030-index.html</v>
      </c>
    </row>
    <row r="5588" spans="1:6" x14ac:dyDescent="0.2">
      <c r="A5588" t="s">
        <v>5080</v>
      </c>
      <c r="B5588" s="1">
        <v>1630031</v>
      </c>
      <c r="C5588" s="1">
        <v>6798</v>
      </c>
      <c r="D5588" s="2">
        <v>42429</v>
      </c>
      <c r="E5588" s="1" t="s">
        <v>18</v>
      </c>
      <c r="F5588" t="str">
        <f>HYPERLINK("http://www.sec.gov/Archives/edgar/data/1630031/0001581068-16-000101-index.html")</f>
        <v>http://www.sec.gov/Archives/edgar/data/1630031/0001581068-16-000101-index.html</v>
      </c>
    </row>
    <row r="5589" spans="1:6" x14ac:dyDescent="0.2">
      <c r="A5589" t="s">
        <v>3179</v>
      </c>
      <c r="B5589" s="1">
        <v>1635863</v>
      </c>
      <c r="C5589" s="1">
        <v>7011</v>
      </c>
      <c r="D5589" s="2">
        <v>42429</v>
      </c>
      <c r="E5589" s="1" t="s">
        <v>18</v>
      </c>
      <c r="F5589" t="str">
        <f>HYPERLINK("http://www.sec.gov/Archives/edgar/data/1635863/0001635863-16-000016-index.html")</f>
        <v>http://www.sec.gov/Archives/edgar/data/1635863/0001635863-16-000016-index.html</v>
      </c>
    </row>
    <row r="5590" spans="1:6" x14ac:dyDescent="0.2">
      <c r="A5590" t="s">
        <v>5081</v>
      </c>
      <c r="B5590" s="1">
        <v>1637197</v>
      </c>
      <c r="C5590" s="1">
        <v>5500</v>
      </c>
      <c r="D5590" s="2">
        <v>42429</v>
      </c>
      <c r="E5590" s="1" t="s">
        <v>18</v>
      </c>
      <c r="F5590" t="str">
        <f>HYPERLINK("http://www.sec.gov/Archives/edgar/data/1637197/0001640334-16-000751-index.html")</f>
        <v>http://www.sec.gov/Archives/edgar/data/1637197/0001640334-16-000751-index.html</v>
      </c>
    </row>
    <row r="5591" spans="1:6" x14ac:dyDescent="0.2">
      <c r="A5591" t="s">
        <v>5082</v>
      </c>
      <c r="B5591" s="1">
        <v>1637757</v>
      </c>
      <c r="C5591" s="1">
        <v>4911</v>
      </c>
      <c r="D5591" s="2">
        <v>42429</v>
      </c>
      <c r="E5591" s="1" t="s">
        <v>18</v>
      </c>
      <c r="F5591" t="str">
        <f>HYPERLINK("http://www.sec.gov/Archives/edgar/data/1637757/0001637757-16-000016-index.html")</f>
        <v>http://www.sec.gov/Archives/edgar/data/1637757/0001637757-16-000016-index.html</v>
      </c>
    </row>
    <row r="5592" spans="1:6" x14ac:dyDescent="0.2">
      <c r="A5592" t="s">
        <v>5083</v>
      </c>
      <c r="B5592" s="1">
        <v>1645494</v>
      </c>
      <c r="C5592" s="1">
        <v>3663</v>
      </c>
      <c r="D5592" s="2">
        <v>42429</v>
      </c>
      <c r="E5592" s="1" t="s">
        <v>18</v>
      </c>
      <c r="F5592" t="str">
        <f>HYPERLINK("http://www.sec.gov/Archives/edgar/data/1645494/0001193125-16-485276-index.html")</f>
        <v>http://www.sec.gov/Archives/edgar/data/1645494/0001193125-16-485276-index.html</v>
      </c>
    </row>
    <row r="5593" spans="1:6" x14ac:dyDescent="0.2">
      <c r="A5593" t="s">
        <v>5084</v>
      </c>
      <c r="B5593" s="1">
        <v>16875</v>
      </c>
      <c r="C5593" s="1">
        <v>4011</v>
      </c>
      <c r="D5593" s="2">
        <v>42429</v>
      </c>
      <c r="E5593" s="1" t="s">
        <v>18</v>
      </c>
      <c r="F5593" t="str">
        <f>HYPERLINK("http://www.sec.gov/Archives/edgar/data/16875/0001628280-16-011920-index.html")</f>
        <v>http://www.sec.gov/Archives/edgar/data/16875/0001628280-16-011920-index.html</v>
      </c>
    </row>
    <row r="5594" spans="1:6" x14ac:dyDescent="0.2">
      <c r="A5594" t="s">
        <v>5085</v>
      </c>
      <c r="B5594" s="1">
        <v>18349</v>
      </c>
      <c r="C5594" s="1">
        <v>6021</v>
      </c>
      <c r="D5594" s="2">
        <v>42429</v>
      </c>
      <c r="E5594" s="1" t="s">
        <v>18</v>
      </c>
      <c r="F5594" t="str">
        <f>HYPERLINK("http://www.sec.gov/Archives/edgar/data/18349/0001628280-16-011916-index.html")</f>
        <v>http://www.sec.gov/Archives/edgar/data/18349/0001628280-16-011916-index.html</v>
      </c>
    </row>
    <row r="5595" spans="1:6" x14ac:dyDescent="0.2">
      <c r="A5595" t="s">
        <v>5086</v>
      </c>
      <c r="B5595" s="1">
        <v>19411</v>
      </c>
      <c r="C5595" s="1">
        <v>8060</v>
      </c>
      <c r="D5595" s="2">
        <v>42429</v>
      </c>
      <c r="E5595" s="1" t="s">
        <v>18</v>
      </c>
      <c r="F5595" t="str">
        <f>HYPERLINK("http://www.sec.gov/Archives/edgar/data/19411/0001047469-16-010571-index.html")</f>
        <v>http://www.sec.gov/Archives/edgar/data/19411/0001047469-16-010571-index.html</v>
      </c>
    </row>
    <row r="5596" spans="1:6" x14ac:dyDescent="0.2">
      <c r="A5596" t="s">
        <v>5087</v>
      </c>
      <c r="B5596" s="1">
        <v>19745</v>
      </c>
      <c r="C5596" s="1">
        <v>4923</v>
      </c>
      <c r="D5596" s="2">
        <v>42429</v>
      </c>
      <c r="E5596" s="1" t="s">
        <v>18</v>
      </c>
      <c r="F5596" t="str">
        <f>HYPERLINK("http://www.sec.gov/Archives/edgar/data/19745/0001628280-16-011868-index.html")</f>
        <v>http://www.sec.gov/Archives/edgar/data/19745/0001628280-16-011868-index.html</v>
      </c>
    </row>
    <row r="5597" spans="1:6" x14ac:dyDescent="0.2">
      <c r="A5597" t="s">
        <v>5088</v>
      </c>
      <c r="B5597" s="1">
        <v>216539</v>
      </c>
      <c r="C5597" s="1">
        <v>4833</v>
      </c>
      <c r="D5597" s="2">
        <v>42429</v>
      </c>
      <c r="E5597" s="1" t="s">
        <v>18</v>
      </c>
      <c r="F5597" t="str">
        <f>HYPERLINK("http://www.sec.gov/Archives/edgar/data/216539/0000216539-16-000218-index.html")</f>
        <v>http://www.sec.gov/Archives/edgar/data/216539/0000216539-16-000218-index.html</v>
      </c>
    </row>
    <row r="5598" spans="1:6" x14ac:dyDescent="0.2">
      <c r="A5598" t="s">
        <v>5089</v>
      </c>
      <c r="B5598" s="1">
        <v>22767</v>
      </c>
      <c r="C5598" s="1">
        <v>4911</v>
      </c>
      <c r="D5598" s="2">
        <v>42429</v>
      </c>
      <c r="E5598" s="1" t="s">
        <v>18</v>
      </c>
      <c r="F5598" t="str">
        <f>HYPERLINK("http://www.sec.gov/Archives/edgar/data/22767/0001108426-16-000165-index.html")</f>
        <v>http://www.sec.gov/Archives/edgar/data/22767/0001108426-16-000165-index.html</v>
      </c>
    </row>
    <row r="5599" spans="1:6" x14ac:dyDescent="0.2">
      <c r="A5599" t="s">
        <v>5090</v>
      </c>
      <c r="B5599" s="1">
        <v>25598</v>
      </c>
      <c r="C5599" s="1">
        <v>6141</v>
      </c>
      <c r="D5599" s="2">
        <v>42429</v>
      </c>
      <c r="E5599" s="1" t="s">
        <v>18</v>
      </c>
      <c r="F5599" t="str">
        <f>HYPERLINK("http://www.sec.gov/Archives/edgar/data/25598/0000025598-16-000043-index.html")</f>
        <v>http://www.sec.gov/Archives/edgar/data/25598/0000025598-16-000043-index.html</v>
      </c>
    </row>
    <row r="5600" spans="1:6" x14ac:dyDescent="0.2">
      <c r="A5600" t="s">
        <v>5091</v>
      </c>
      <c r="B5600" s="1">
        <v>277135</v>
      </c>
      <c r="C5600" s="1">
        <v>5000</v>
      </c>
      <c r="D5600" s="2">
        <v>42429</v>
      </c>
      <c r="E5600" s="1" t="s">
        <v>18</v>
      </c>
      <c r="F5600" t="str">
        <f>HYPERLINK("http://www.sec.gov/Archives/edgar/data/277135/0000277135-16-000037-index.html")</f>
        <v>http://www.sec.gov/Archives/edgar/data/277135/0000277135-16-000037-index.html</v>
      </c>
    </row>
    <row r="5601" spans="1:6" x14ac:dyDescent="0.2">
      <c r="A5601" t="s">
        <v>5092</v>
      </c>
      <c r="B5601" s="1">
        <v>277509</v>
      </c>
      <c r="C5601" s="1">
        <v>3711</v>
      </c>
      <c r="D5601" s="2">
        <v>42429</v>
      </c>
      <c r="E5601" s="1" t="s">
        <v>18</v>
      </c>
      <c r="F5601" t="str">
        <f>HYPERLINK("http://www.sec.gov/Archives/edgar/data/277509/0000277509-16-000096-index.html")</f>
        <v>http://www.sec.gov/Archives/edgar/data/277509/0000277509-16-000096-index.html</v>
      </c>
    </row>
    <row r="5602" spans="1:6" x14ac:dyDescent="0.2">
      <c r="A5602" t="s">
        <v>5093</v>
      </c>
      <c r="B5602" s="1">
        <v>28823</v>
      </c>
      <c r="C5602" s="1">
        <v>3578</v>
      </c>
      <c r="D5602" s="2">
        <v>42429</v>
      </c>
      <c r="E5602" s="1" t="s">
        <v>18</v>
      </c>
      <c r="F5602" t="str">
        <f>HYPERLINK("http://www.sec.gov/Archives/edgar/data/28823/0000028823-16-000157-index.html")</f>
        <v>http://www.sec.gov/Archives/edgar/data/28823/0000028823-16-000157-index.html</v>
      </c>
    </row>
    <row r="5603" spans="1:6" x14ac:dyDescent="0.2">
      <c r="A5603" t="s">
        <v>5094</v>
      </c>
      <c r="B5603" s="1">
        <v>317889</v>
      </c>
      <c r="C5603" s="1">
        <v>5084</v>
      </c>
      <c r="D5603" s="2">
        <v>42429</v>
      </c>
      <c r="E5603" s="1" t="s">
        <v>42</v>
      </c>
      <c r="F5603" t="str">
        <f>HYPERLINK("http://www.sec.gov/Archives/edgar/data/317889/0001437749-16-026192-index.html")</f>
        <v>http://www.sec.gov/Archives/edgar/data/317889/0001437749-16-026192-index.html</v>
      </c>
    </row>
    <row r="5604" spans="1:6" x14ac:dyDescent="0.2">
      <c r="A5604" t="s">
        <v>5095</v>
      </c>
      <c r="B5604" s="1">
        <v>319655</v>
      </c>
      <c r="C5604" s="1">
        <v>6792</v>
      </c>
      <c r="D5604" s="2">
        <v>42429</v>
      </c>
      <c r="E5604" s="1" t="s">
        <v>18</v>
      </c>
      <c r="F5604" t="str">
        <f>HYPERLINK("http://www.sec.gov/Archives/edgar/data/319655/0001193125-16-485698-index.html")</f>
        <v>http://www.sec.gov/Archives/edgar/data/319655/0001193125-16-485698-index.html</v>
      </c>
    </row>
    <row r="5605" spans="1:6" x14ac:dyDescent="0.2">
      <c r="A5605" t="s">
        <v>5096</v>
      </c>
      <c r="B5605" s="1">
        <v>31978</v>
      </c>
      <c r="C5605" s="1">
        <v>4911</v>
      </c>
      <c r="D5605" s="2">
        <v>42429</v>
      </c>
      <c r="E5605" s="1" t="s">
        <v>18</v>
      </c>
      <c r="F5605" t="str">
        <f>HYPERLINK("http://www.sec.gov/Archives/edgar/data/31978/0000031978-16-000064-index.html")</f>
        <v>http://www.sec.gov/Archives/edgar/data/31978/0000031978-16-000064-index.html</v>
      </c>
    </row>
    <row r="5606" spans="1:6" x14ac:dyDescent="0.2">
      <c r="A5606" t="s">
        <v>5097</v>
      </c>
      <c r="B5606" s="1">
        <v>350403</v>
      </c>
      <c r="C5606" s="1">
        <v>4522</v>
      </c>
      <c r="D5606" s="2">
        <v>42429</v>
      </c>
      <c r="E5606" s="1" t="s">
        <v>18</v>
      </c>
      <c r="F5606" t="str">
        <f>HYPERLINK("http://www.sec.gov/Archives/edgar/data/350403/0001193125-16-484332-index.html")</f>
        <v>http://www.sec.gov/Archives/edgar/data/350403/0001193125-16-484332-index.html</v>
      </c>
    </row>
    <row r="5607" spans="1:6" x14ac:dyDescent="0.2">
      <c r="A5607" t="s">
        <v>5098</v>
      </c>
      <c r="B5607" s="1">
        <v>351569</v>
      </c>
      <c r="C5607" s="1">
        <v>6022</v>
      </c>
      <c r="D5607" s="2">
        <v>42429</v>
      </c>
      <c r="E5607" s="1" t="s">
        <v>18</v>
      </c>
      <c r="F5607" t="str">
        <f>HYPERLINK("http://www.sec.gov/Archives/edgar/data/351569/0001144204-16-085023-index.html")</f>
        <v>http://www.sec.gov/Archives/edgar/data/351569/0001144204-16-085023-index.html</v>
      </c>
    </row>
    <row r="5608" spans="1:6" x14ac:dyDescent="0.2">
      <c r="A5608" t="s">
        <v>5099</v>
      </c>
      <c r="B5608" s="1">
        <v>353020</v>
      </c>
      <c r="C5608" s="1">
        <v>1623</v>
      </c>
      <c r="D5608" s="2">
        <v>42429</v>
      </c>
      <c r="E5608" s="1" t="s">
        <v>18</v>
      </c>
      <c r="F5608" t="str">
        <f>HYPERLINK("http://www.sec.gov/Archives/edgar/data/353020/0000353020-16-000078-index.html")</f>
        <v>http://www.sec.gov/Archives/edgar/data/353020/0000353020-16-000078-index.html</v>
      </c>
    </row>
    <row r="5609" spans="1:6" x14ac:dyDescent="0.2">
      <c r="A5609" t="s">
        <v>3191</v>
      </c>
      <c r="B5609" s="1">
        <v>354647</v>
      </c>
      <c r="C5609" s="1">
        <v>6022</v>
      </c>
      <c r="D5609" s="2">
        <v>42429</v>
      </c>
      <c r="E5609" s="1" t="s">
        <v>18</v>
      </c>
      <c r="F5609" t="str">
        <f>HYPERLINK("http://www.sec.gov/Archives/edgar/data/354647/0001193125-16-485748-index.html")</f>
        <v>http://www.sec.gov/Archives/edgar/data/354647/0001193125-16-485748-index.html</v>
      </c>
    </row>
    <row r="5610" spans="1:6" x14ac:dyDescent="0.2">
      <c r="A5610" t="s">
        <v>5100</v>
      </c>
      <c r="B5610" s="1">
        <v>356213</v>
      </c>
      <c r="C5610" s="1">
        <v>7011</v>
      </c>
      <c r="D5610" s="2">
        <v>42429</v>
      </c>
      <c r="E5610" s="1" t="s">
        <v>18</v>
      </c>
      <c r="F5610" t="str">
        <f>HYPERLINK("http://www.sec.gov/Archives/edgar/data/356213/0000356213-16-000069-index.html")</f>
        <v>http://www.sec.gov/Archives/edgar/data/356213/0000356213-16-000069-index.html</v>
      </c>
    </row>
    <row r="5611" spans="1:6" x14ac:dyDescent="0.2">
      <c r="A5611" t="s">
        <v>5101</v>
      </c>
      <c r="B5611" s="1">
        <v>39899</v>
      </c>
      <c r="C5611" s="1">
        <v>4833</v>
      </c>
      <c r="D5611" s="2">
        <v>42429</v>
      </c>
      <c r="E5611" s="1" t="s">
        <v>18</v>
      </c>
      <c r="F5611" t="str">
        <f>HYPERLINK("http://www.sec.gov/Archives/edgar/data/39899/0000039899-16-000034-index.html")</f>
        <v>http://www.sec.gov/Archives/edgar/data/39899/0000039899-16-000034-index.html</v>
      </c>
    </row>
    <row r="5612" spans="1:6" x14ac:dyDescent="0.2">
      <c r="A5612" t="s">
        <v>5102</v>
      </c>
      <c r="B5612" s="1">
        <v>46195</v>
      </c>
      <c r="C5612" s="1">
        <v>6022</v>
      </c>
      <c r="D5612" s="2">
        <v>42429</v>
      </c>
      <c r="E5612" s="1" t="s">
        <v>18</v>
      </c>
      <c r="F5612" t="str">
        <f>HYPERLINK("http://www.sec.gov/Archives/edgar/data/46195/0000046195-16-000109-index.html")</f>
        <v>http://www.sec.gov/Archives/edgar/data/46195/0000046195-16-000109-index.html</v>
      </c>
    </row>
    <row r="5613" spans="1:6" x14ac:dyDescent="0.2">
      <c r="A5613" t="s">
        <v>5103</v>
      </c>
      <c r="B5613" s="1">
        <v>47129</v>
      </c>
      <c r="C5613" s="1">
        <v>7510</v>
      </c>
      <c r="D5613" s="2">
        <v>42429</v>
      </c>
      <c r="E5613" s="1" t="s">
        <v>18</v>
      </c>
      <c r="F5613" t="str">
        <f>HYPERLINK("http://www.sec.gov/Archives/edgar/data/47129/0000047129-16-000025-index.html")</f>
        <v>http://www.sec.gov/Archives/edgar/data/47129/0000047129-16-000025-index.html</v>
      </c>
    </row>
    <row r="5614" spans="1:6" x14ac:dyDescent="0.2">
      <c r="A5614" t="s">
        <v>5104</v>
      </c>
      <c r="B5614" s="1">
        <v>48287</v>
      </c>
      <c r="C5614" s="1">
        <v>2522</v>
      </c>
      <c r="D5614" s="2">
        <v>42429</v>
      </c>
      <c r="E5614" s="1" t="s">
        <v>18</v>
      </c>
      <c r="F5614" t="str">
        <f>HYPERLINK("http://www.sec.gov/Archives/edgar/data/48287/0000048287-16-000053-index.html")</f>
        <v>http://www.sec.gov/Archives/edgar/data/48287/0000048287-16-000053-index.html</v>
      </c>
    </row>
    <row r="5615" spans="1:6" x14ac:dyDescent="0.2">
      <c r="A5615" t="s">
        <v>5105</v>
      </c>
      <c r="B5615" s="1">
        <v>52827</v>
      </c>
      <c r="C5615" s="1">
        <v>6798</v>
      </c>
      <c r="D5615" s="2">
        <v>42429</v>
      </c>
      <c r="E5615" s="1" t="s">
        <v>18</v>
      </c>
      <c r="F5615" t="str">
        <f>HYPERLINK("http://www.sec.gov/Archives/edgar/data/52827/0000052827-16-000059-index.html")</f>
        <v>http://www.sec.gov/Archives/edgar/data/52827/0000052827-16-000059-index.html</v>
      </c>
    </row>
    <row r="5616" spans="1:6" x14ac:dyDescent="0.2">
      <c r="A5616" t="s">
        <v>5106</v>
      </c>
      <c r="B5616" s="1">
        <v>54381</v>
      </c>
      <c r="C5616" s="1">
        <v>5080</v>
      </c>
      <c r="D5616" s="2">
        <v>42429</v>
      </c>
      <c r="E5616" s="1" t="s">
        <v>18</v>
      </c>
      <c r="F5616" t="str">
        <f>HYPERLINK("http://www.sec.gov/Archives/edgar/data/54381/0000054381-16-000074-index.html")</f>
        <v>http://www.sec.gov/Archives/edgar/data/54381/0000054381-16-000074-index.html</v>
      </c>
    </row>
    <row r="5617" spans="1:6" x14ac:dyDescent="0.2">
      <c r="A5617" t="s">
        <v>5107</v>
      </c>
      <c r="B5617" s="1">
        <v>60714</v>
      </c>
      <c r="C5617" s="1">
        <v>2810</v>
      </c>
      <c r="D5617" s="2">
        <v>42429</v>
      </c>
      <c r="E5617" s="1" t="s">
        <v>18</v>
      </c>
      <c r="F5617" t="str">
        <f>HYPERLINK("http://www.sec.gov/Archives/edgar/data/60714/0001564590-16-013735-index.html")</f>
        <v>http://www.sec.gov/Archives/edgar/data/60714/0001564590-16-013735-index.html</v>
      </c>
    </row>
    <row r="5618" spans="1:6" x14ac:dyDescent="0.2">
      <c r="A5618" t="s">
        <v>5108</v>
      </c>
      <c r="B5618" s="1">
        <v>61986</v>
      </c>
      <c r="C5618" s="1">
        <v>3531</v>
      </c>
      <c r="D5618" s="2">
        <v>42429</v>
      </c>
      <c r="E5618" s="1" t="s">
        <v>18</v>
      </c>
      <c r="F5618" t="str">
        <f>HYPERLINK("http://www.sec.gov/Archives/edgar/data/61986/0000061986-16-000073-index.html")</f>
        <v>http://www.sec.gov/Archives/edgar/data/61986/0000061986-16-000073-index.html</v>
      </c>
    </row>
    <row r="5619" spans="1:6" x14ac:dyDescent="0.2">
      <c r="A5619" t="s">
        <v>5109</v>
      </c>
      <c r="B5619" s="1">
        <v>66570</v>
      </c>
      <c r="C5619" s="1">
        <v>3842</v>
      </c>
      <c r="D5619" s="2">
        <v>42429</v>
      </c>
      <c r="E5619" s="1" t="s">
        <v>18</v>
      </c>
      <c r="F5619" t="str">
        <f>HYPERLINK("http://www.sec.gov/Archives/edgar/data/66570/0000066570-16-000068-index.html")</f>
        <v>http://www.sec.gov/Archives/edgar/data/66570/0000066570-16-000068-index.html</v>
      </c>
    </row>
    <row r="5620" spans="1:6" x14ac:dyDescent="0.2">
      <c r="A5620" t="s">
        <v>5110</v>
      </c>
      <c r="B5620" s="1">
        <v>700733</v>
      </c>
      <c r="C5620" s="1">
        <v>6021</v>
      </c>
      <c r="D5620" s="2">
        <v>42429</v>
      </c>
      <c r="E5620" s="1" t="s">
        <v>18</v>
      </c>
      <c r="F5620" t="str">
        <f>HYPERLINK("http://www.sec.gov/Archives/edgar/data/700733/0000700733-16-000048-index.html")</f>
        <v>http://www.sec.gov/Archives/edgar/data/700733/0000700733-16-000048-index.html</v>
      </c>
    </row>
    <row r="5621" spans="1:6" x14ac:dyDescent="0.2">
      <c r="A5621" t="s">
        <v>5111</v>
      </c>
      <c r="B5621" s="1">
        <v>706129</v>
      </c>
      <c r="C5621" s="1">
        <v>6021</v>
      </c>
      <c r="D5621" s="2">
        <v>42429</v>
      </c>
      <c r="E5621" s="1" t="s">
        <v>18</v>
      </c>
      <c r="F5621" t="str">
        <f>HYPERLINK("http://www.sec.gov/Archives/edgar/data/706129/0001193125-16-484740-index.html")</f>
        <v>http://www.sec.gov/Archives/edgar/data/706129/0001193125-16-484740-index.html</v>
      </c>
    </row>
    <row r="5622" spans="1:6" x14ac:dyDescent="0.2">
      <c r="A5622" t="s">
        <v>5112</v>
      </c>
      <c r="B5622" s="1">
        <v>706688</v>
      </c>
      <c r="C5622" s="1">
        <v>7359</v>
      </c>
      <c r="D5622" s="2">
        <v>42429</v>
      </c>
      <c r="E5622" s="1" t="s">
        <v>18</v>
      </c>
      <c r="F5622" t="str">
        <f>HYPERLINK("http://www.sec.gov/Archives/edgar/data/706688/0000706688-16-000237-index.html")</f>
        <v>http://www.sec.gov/Archives/edgar/data/706688/0000706688-16-000237-index.html</v>
      </c>
    </row>
    <row r="5623" spans="1:6" x14ac:dyDescent="0.2">
      <c r="A5623" t="s">
        <v>5113</v>
      </c>
      <c r="B5623" s="1">
        <v>71180</v>
      </c>
      <c r="C5623" s="1">
        <v>4911</v>
      </c>
      <c r="D5623" s="2">
        <v>42429</v>
      </c>
      <c r="E5623" s="1" t="s">
        <v>18</v>
      </c>
      <c r="F5623" t="str">
        <f>HYPERLINK("http://www.sec.gov/Archives/edgar/data/71180/0001081316-16-000023-index.html")</f>
        <v>http://www.sec.gov/Archives/edgar/data/71180/0001081316-16-000023-index.html</v>
      </c>
    </row>
    <row r="5624" spans="1:6" x14ac:dyDescent="0.2">
      <c r="A5624" t="s">
        <v>5114</v>
      </c>
      <c r="B5624" s="1">
        <v>712534</v>
      </c>
      <c r="C5624" s="1">
        <v>6021</v>
      </c>
      <c r="D5624" s="2">
        <v>42429</v>
      </c>
      <c r="E5624" s="1" t="s">
        <v>18</v>
      </c>
      <c r="F5624" t="str">
        <f>HYPERLINK("http://www.sec.gov/Archives/edgar/data/712534/0000712534-16-000349-index.html")</f>
        <v>http://www.sec.gov/Archives/edgar/data/712534/0000712534-16-000349-index.html</v>
      </c>
    </row>
    <row r="5625" spans="1:6" x14ac:dyDescent="0.2">
      <c r="A5625" t="s">
        <v>5115</v>
      </c>
      <c r="B5625" s="1">
        <v>712537</v>
      </c>
      <c r="C5625" s="1">
        <v>6021</v>
      </c>
      <c r="D5625" s="2">
        <v>42429</v>
      </c>
      <c r="E5625" s="1" t="s">
        <v>18</v>
      </c>
      <c r="F5625" t="str">
        <f>HYPERLINK("http://www.sec.gov/Archives/edgar/data/712537/0000712537-16-000058-index.html")</f>
        <v>http://www.sec.gov/Archives/edgar/data/712537/0000712537-16-000058-index.html</v>
      </c>
    </row>
    <row r="5626" spans="1:6" x14ac:dyDescent="0.2">
      <c r="A5626" t="s">
        <v>5116</v>
      </c>
      <c r="B5626" s="1">
        <v>713676</v>
      </c>
      <c r="C5626" s="1">
        <v>6021</v>
      </c>
      <c r="D5626" s="2">
        <v>42429</v>
      </c>
      <c r="E5626" s="1" t="s">
        <v>18</v>
      </c>
      <c r="F5626" t="str">
        <f>HYPERLINK("http://www.sec.gov/Archives/edgar/data/713676/0001193125-16-482577-index.html")</f>
        <v>http://www.sec.gov/Archives/edgar/data/713676/0001193125-16-482577-index.html</v>
      </c>
    </row>
    <row r="5627" spans="1:6" x14ac:dyDescent="0.2">
      <c r="A5627" t="s">
        <v>5117</v>
      </c>
      <c r="B5627" s="1">
        <v>714310</v>
      </c>
      <c r="C5627" s="1">
        <v>6021</v>
      </c>
      <c r="D5627" s="2">
        <v>42429</v>
      </c>
      <c r="E5627" s="1" t="s">
        <v>18</v>
      </c>
      <c r="F5627" t="str">
        <f>HYPERLINK("http://www.sec.gov/Archives/edgar/data/714310/0000714310-16-000226-index.html")</f>
        <v>http://www.sec.gov/Archives/edgar/data/714310/0000714310-16-000226-index.html</v>
      </c>
    </row>
    <row r="5628" spans="1:6" x14ac:dyDescent="0.2">
      <c r="A5628" t="s">
        <v>5118</v>
      </c>
      <c r="B5628" s="1">
        <v>715072</v>
      </c>
      <c r="C5628" s="1">
        <v>6022</v>
      </c>
      <c r="D5628" s="2">
        <v>42429</v>
      </c>
      <c r="E5628" s="1" t="s">
        <v>18</v>
      </c>
      <c r="F5628" t="str">
        <f>HYPERLINK("http://www.sec.gov/Archives/edgar/data/715072/0000715072-16-000108-index.html")</f>
        <v>http://www.sec.gov/Archives/edgar/data/715072/0000715072-16-000108-index.html</v>
      </c>
    </row>
    <row r="5629" spans="1:6" x14ac:dyDescent="0.2">
      <c r="A5629" t="s">
        <v>5119</v>
      </c>
      <c r="B5629" s="1">
        <v>718877</v>
      </c>
      <c r="C5629" s="1">
        <v>7372</v>
      </c>
      <c r="D5629" s="2">
        <v>42429</v>
      </c>
      <c r="E5629" s="1" t="s">
        <v>18</v>
      </c>
      <c r="F5629" t="str">
        <f>HYPERLINK("http://www.sec.gov/Archives/edgar/data/718877/0001047469-16-010584-index.html")</f>
        <v>http://www.sec.gov/Archives/edgar/data/718877/0001047469-16-010584-index.html</v>
      </c>
    </row>
    <row r="5630" spans="1:6" x14ac:dyDescent="0.2">
      <c r="A5630" t="s">
        <v>5120</v>
      </c>
      <c r="B5630" s="1">
        <v>721447</v>
      </c>
      <c r="C5630" s="1">
        <v>2844</v>
      </c>
      <c r="D5630" s="2">
        <v>42429</v>
      </c>
      <c r="E5630" s="1" t="s">
        <v>18</v>
      </c>
      <c r="F5630" t="str">
        <f>HYPERLINK("http://www.sec.gov/Archives/edgar/data/721447/0000721447-16-000035-index.html")</f>
        <v>http://www.sec.gov/Archives/edgar/data/721447/0000721447-16-000035-index.html</v>
      </c>
    </row>
    <row r="5631" spans="1:6" x14ac:dyDescent="0.2">
      <c r="A5631" t="s">
        <v>5121</v>
      </c>
      <c r="B5631" s="1">
        <v>723188</v>
      </c>
      <c r="C5631" s="1">
        <v>6021</v>
      </c>
      <c r="D5631" s="2">
        <v>42429</v>
      </c>
      <c r="E5631" s="1" t="s">
        <v>18</v>
      </c>
      <c r="F5631" t="str">
        <f>HYPERLINK("http://www.sec.gov/Archives/edgar/data/723188/0000723188-16-000073-index.html")</f>
        <v>http://www.sec.gov/Archives/edgar/data/723188/0000723188-16-000073-index.html</v>
      </c>
    </row>
    <row r="5632" spans="1:6" x14ac:dyDescent="0.2">
      <c r="A5632" t="s">
        <v>5122</v>
      </c>
      <c r="B5632" s="1">
        <v>726513</v>
      </c>
      <c r="C5632" s="1">
        <v>4833</v>
      </c>
      <c r="D5632" s="2">
        <v>42429</v>
      </c>
      <c r="E5632" s="1" t="s">
        <v>18</v>
      </c>
      <c r="F5632" t="str">
        <f>HYPERLINK("http://www.sec.gov/Archives/edgar/data/726513/0000726513-16-000039-index.html")</f>
        <v>http://www.sec.gov/Archives/edgar/data/726513/0000726513-16-000039-index.html</v>
      </c>
    </row>
    <row r="5633" spans="1:6" x14ac:dyDescent="0.2">
      <c r="A5633" t="s">
        <v>5123</v>
      </c>
      <c r="B5633" s="1">
        <v>729986</v>
      </c>
      <c r="C5633" s="1">
        <v>6022</v>
      </c>
      <c r="D5633" s="2">
        <v>42429</v>
      </c>
      <c r="E5633" s="1" t="s">
        <v>18</v>
      </c>
      <c r="F5633" t="str">
        <f>HYPERLINK("http://www.sec.gov/Archives/edgar/data/729986/0001193125-16-484917-index.html")</f>
        <v>http://www.sec.gov/Archives/edgar/data/729986/0001193125-16-484917-index.html</v>
      </c>
    </row>
    <row r="5634" spans="1:6" x14ac:dyDescent="0.2">
      <c r="A5634" t="s">
        <v>5124</v>
      </c>
      <c r="B5634" s="1">
        <v>73124</v>
      </c>
      <c r="C5634" s="1">
        <v>6022</v>
      </c>
      <c r="D5634" s="2">
        <v>42429</v>
      </c>
      <c r="E5634" s="1" t="s">
        <v>18</v>
      </c>
      <c r="F5634" t="str">
        <f>HYPERLINK("http://www.sec.gov/Archives/edgar/data/73124/0000073124-16-000324-index.html")</f>
        <v>http://www.sec.gov/Archives/edgar/data/73124/0000073124-16-000324-index.html</v>
      </c>
    </row>
    <row r="5635" spans="1:6" x14ac:dyDescent="0.2">
      <c r="A5635" t="s">
        <v>5125</v>
      </c>
      <c r="B5635" s="1">
        <v>742126</v>
      </c>
      <c r="C5635" s="1">
        <v>4953</v>
      </c>
      <c r="D5635" s="2">
        <v>42429</v>
      </c>
      <c r="E5635" s="1" t="s">
        <v>18</v>
      </c>
      <c r="F5635" t="str">
        <f>HYPERLINK("http://www.sec.gov/Archives/edgar/data/742126/0001047469-16-010575-index.html")</f>
        <v>http://www.sec.gov/Archives/edgar/data/742126/0001047469-16-010575-index.html</v>
      </c>
    </row>
    <row r="5636" spans="1:6" x14ac:dyDescent="0.2">
      <c r="A5636" t="s">
        <v>5126</v>
      </c>
      <c r="B5636" s="1">
        <v>742278</v>
      </c>
      <c r="C5636" s="1">
        <v>1389</v>
      </c>
      <c r="D5636" s="2">
        <v>42429</v>
      </c>
      <c r="E5636" s="1" t="s">
        <v>18</v>
      </c>
      <c r="F5636" t="str">
        <f>HYPERLINK("http://www.sec.gov/Archives/edgar/data/742278/0001571049-16-012371-index.html")</f>
        <v>http://www.sec.gov/Archives/edgar/data/742278/0001571049-16-012371-index.html</v>
      </c>
    </row>
    <row r="5637" spans="1:6" x14ac:dyDescent="0.2">
      <c r="A5637" t="s">
        <v>5127</v>
      </c>
      <c r="B5637" s="1">
        <v>74260</v>
      </c>
      <c r="C5637" s="1">
        <v>6351</v>
      </c>
      <c r="D5637" s="2">
        <v>42429</v>
      </c>
      <c r="E5637" s="1" t="s">
        <v>18</v>
      </c>
      <c r="F5637" t="str">
        <f>HYPERLINK("http://www.sec.gov/Archives/edgar/data/74260/0000074260-16-000082-index.html")</f>
        <v>http://www.sec.gov/Archives/edgar/data/74260/0000074260-16-000082-index.html</v>
      </c>
    </row>
    <row r="5638" spans="1:6" x14ac:dyDescent="0.2">
      <c r="A5638" t="s">
        <v>5128</v>
      </c>
      <c r="B5638" s="1">
        <v>746838</v>
      </c>
      <c r="C5638" s="1">
        <v>7373</v>
      </c>
      <c r="D5638" s="2">
        <v>42429</v>
      </c>
      <c r="E5638" s="1" t="s">
        <v>18</v>
      </c>
      <c r="F5638" t="str">
        <f>HYPERLINK("http://www.sec.gov/Archives/edgar/data/746838/0001193125-16-483720-index.html")</f>
        <v>http://www.sec.gov/Archives/edgar/data/746838/0001193125-16-483720-index.html</v>
      </c>
    </row>
    <row r="5639" spans="1:6" x14ac:dyDescent="0.2">
      <c r="A5639" t="s">
        <v>5129</v>
      </c>
      <c r="B5639" s="1">
        <v>750004</v>
      </c>
      <c r="C5639" s="1">
        <v>7373</v>
      </c>
      <c r="D5639" s="2">
        <v>42429</v>
      </c>
      <c r="E5639" s="1" t="s">
        <v>18</v>
      </c>
      <c r="F5639" t="str">
        <f>HYPERLINK("http://www.sec.gov/Archives/edgar/data/750004/0000750004-16-000023-index.html")</f>
        <v>http://www.sec.gov/Archives/edgar/data/750004/0000750004-16-000023-index.html</v>
      </c>
    </row>
    <row r="5640" spans="1:6" x14ac:dyDescent="0.2">
      <c r="A5640" t="s">
        <v>5130</v>
      </c>
      <c r="B5640" s="1">
        <v>754673</v>
      </c>
      <c r="C5640" s="1">
        <v>6021</v>
      </c>
      <c r="D5640" s="2">
        <v>42429</v>
      </c>
      <c r="E5640" s="1" t="s">
        <v>18</v>
      </c>
      <c r="F5640" t="str">
        <f>HYPERLINK("http://www.sec.gov/Archives/edgar/data/754673/0001567619-16-001902-index.html")</f>
        <v>http://www.sec.gov/Archives/edgar/data/754673/0001567619-16-001902-index.html</v>
      </c>
    </row>
    <row r="5641" spans="1:6" x14ac:dyDescent="0.2">
      <c r="A5641" t="s">
        <v>5131</v>
      </c>
      <c r="B5641" s="1">
        <v>75594</v>
      </c>
      <c r="C5641" s="1">
        <v>4911</v>
      </c>
      <c r="D5641" s="2">
        <v>42429</v>
      </c>
      <c r="E5641" s="1" t="s">
        <v>18</v>
      </c>
      <c r="F5641" t="str">
        <f>HYPERLINK("http://www.sec.gov/Archives/edgar/data/75594/0001081316-16-000023-index.html")</f>
        <v>http://www.sec.gov/Archives/edgar/data/75594/0001081316-16-000023-index.html</v>
      </c>
    </row>
    <row r="5642" spans="1:6" x14ac:dyDescent="0.2">
      <c r="A5642" t="s">
        <v>5132</v>
      </c>
      <c r="B5642" s="1">
        <v>763744</v>
      </c>
      <c r="C5642" s="1">
        <v>3714</v>
      </c>
      <c r="D5642" s="2">
        <v>42429</v>
      </c>
      <c r="E5642" s="1" t="s">
        <v>18</v>
      </c>
      <c r="F5642" t="str">
        <f>HYPERLINK("http://www.sec.gov/Archives/edgar/data/763744/0000763744-16-000351-index.html")</f>
        <v>http://www.sec.gov/Archives/edgar/data/763744/0000763744-16-000351-index.html</v>
      </c>
    </row>
    <row r="5643" spans="1:6" x14ac:dyDescent="0.2">
      <c r="A5643" t="s">
        <v>5133</v>
      </c>
      <c r="B5643" s="1">
        <v>763901</v>
      </c>
      <c r="C5643" s="1">
        <v>6022</v>
      </c>
      <c r="D5643" s="2">
        <v>42429</v>
      </c>
      <c r="E5643" s="1" t="s">
        <v>18</v>
      </c>
      <c r="F5643" t="str">
        <f>HYPERLINK("http://www.sec.gov/Archives/edgar/data/763901/0001193125-16-485443-index.html")</f>
        <v>http://www.sec.gov/Archives/edgar/data/763901/0001193125-16-485443-index.html</v>
      </c>
    </row>
    <row r="5644" spans="1:6" x14ac:dyDescent="0.2">
      <c r="A5644" t="s">
        <v>5134</v>
      </c>
      <c r="B5644" s="1">
        <v>77543</v>
      </c>
      <c r="C5644" s="1">
        <v>1540</v>
      </c>
      <c r="D5644" s="2">
        <v>42429</v>
      </c>
      <c r="E5644" s="1" t="s">
        <v>18</v>
      </c>
      <c r="F5644" t="str">
        <f>HYPERLINK("http://www.sec.gov/Archives/edgar/data/77543/0000077543-16-000076-index.html")</f>
        <v>http://www.sec.gov/Archives/edgar/data/77543/0000077543-16-000076-index.html</v>
      </c>
    </row>
    <row r="5645" spans="1:6" x14ac:dyDescent="0.2">
      <c r="A5645" t="s">
        <v>5135</v>
      </c>
      <c r="B5645" s="1">
        <v>776867</v>
      </c>
      <c r="C5645" s="1">
        <v>6331</v>
      </c>
      <c r="D5645" s="2">
        <v>42429</v>
      </c>
      <c r="E5645" s="1" t="s">
        <v>18</v>
      </c>
      <c r="F5645" t="str">
        <f>HYPERLINK("http://www.sec.gov/Archives/edgar/data/776867/0000776867-16-000036-index.html")</f>
        <v>http://www.sec.gov/Archives/edgar/data/776867/0000776867-16-000036-index.html</v>
      </c>
    </row>
    <row r="5646" spans="1:6" x14ac:dyDescent="0.2">
      <c r="A5646" t="s">
        <v>5136</v>
      </c>
      <c r="B5646" s="1">
        <v>78003</v>
      </c>
      <c r="C5646" s="1">
        <v>2834</v>
      </c>
      <c r="D5646" s="2">
        <v>42429</v>
      </c>
      <c r="E5646" s="1" t="s">
        <v>18</v>
      </c>
      <c r="F5646" t="str">
        <f>HYPERLINK("http://www.sec.gov/Archives/edgar/data/78003/0000078003-16-000077-index.html")</f>
        <v>http://www.sec.gov/Archives/edgar/data/78003/0000078003-16-000077-index.html</v>
      </c>
    </row>
    <row r="5647" spans="1:6" x14ac:dyDescent="0.2">
      <c r="A5647" t="s">
        <v>5137</v>
      </c>
      <c r="B5647" s="1">
        <v>786947</v>
      </c>
      <c r="C5647" s="1">
        <v>2834</v>
      </c>
      <c r="D5647" s="2">
        <v>42429</v>
      </c>
      <c r="E5647" s="1" t="s">
        <v>18</v>
      </c>
      <c r="F5647" t="str">
        <f>HYPERLINK("http://www.sec.gov/Archives/edgar/data/786947/0001144204-16-085018-index.html")</f>
        <v>http://www.sec.gov/Archives/edgar/data/786947/0001144204-16-085018-index.html</v>
      </c>
    </row>
    <row r="5648" spans="1:6" x14ac:dyDescent="0.2">
      <c r="A5648" t="s">
        <v>5138</v>
      </c>
      <c r="B5648" s="1">
        <v>78890</v>
      </c>
      <c r="C5648" s="1">
        <v>4731</v>
      </c>
      <c r="D5648" s="2">
        <v>42429</v>
      </c>
      <c r="E5648" s="1" t="s">
        <v>18</v>
      </c>
      <c r="F5648" t="str">
        <f>HYPERLINK("http://www.sec.gov/Archives/edgar/data/78890/0000078890-16-000062-index.html")</f>
        <v>http://www.sec.gov/Archives/edgar/data/78890/0000078890-16-000062-index.html</v>
      </c>
    </row>
    <row r="5649" spans="1:6" x14ac:dyDescent="0.2">
      <c r="A5649" t="s">
        <v>5139</v>
      </c>
      <c r="B5649" s="1">
        <v>789570</v>
      </c>
      <c r="C5649" s="1">
        <v>7011</v>
      </c>
      <c r="D5649" s="2">
        <v>42429</v>
      </c>
      <c r="E5649" s="1" t="s">
        <v>18</v>
      </c>
      <c r="F5649" t="str">
        <f>HYPERLINK("http://www.sec.gov/Archives/edgar/data/789570/0001564590-16-013639-index.html")</f>
        <v>http://www.sec.gov/Archives/edgar/data/789570/0001564590-16-013639-index.html</v>
      </c>
    </row>
    <row r="5650" spans="1:6" x14ac:dyDescent="0.2">
      <c r="A5650" t="s">
        <v>5140</v>
      </c>
      <c r="B5650" s="1">
        <v>790359</v>
      </c>
      <c r="C5650" s="1">
        <v>6021</v>
      </c>
      <c r="D5650" s="2">
        <v>42429</v>
      </c>
      <c r="E5650" s="1" t="s">
        <v>18</v>
      </c>
      <c r="F5650" t="str">
        <f>HYPERLINK("http://www.sec.gov/Archives/edgar/data/790359/0001140361-16-055455-index.html")</f>
        <v>http://www.sec.gov/Archives/edgar/data/790359/0001140361-16-055455-index.html</v>
      </c>
    </row>
    <row r="5651" spans="1:6" x14ac:dyDescent="0.2">
      <c r="A5651" t="s">
        <v>5141</v>
      </c>
      <c r="B5651" s="1">
        <v>790816</v>
      </c>
      <c r="C5651" s="1">
        <v>6798</v>
      </c>
      <c r="D5651" s="2">
        <v>42429</v>
      </c>
      <c r="E5651" s="1" t="s">
        <v>18</v>
      </c>
      <c r="F5651" t="str">
        <f>HYPERLINK("http://www.sec.gov/Archives/edgar/data/790816/0001564590-16-013601-index.html")</f>
        <v>http://www.sec.gov/Archives/edgar/data/790816/0001564590-16-013601-index.html</v>
      </c>
    </row>
    <row r="5652" spans="1:6" x14ac:dyDescent="0.2">
      <c r="A5652" t="s">
        <v>5142</v>
      </c>
      <c r="B5652" s="1">
        <v>792987</v>
      </c>
      <c r="C5652" s="1">
        <v>3531</v>
      </c>
      <c r="D5652" s="2">
        <v>42429</v>
      </c>
      <c r="E5652" s="1" t="s">
        <v>18</v>
      </c>
      <c r="F5652" t="str">
        <f>HYPERLINK("http://www.sec.gov/Archives/edgar/data/792987/0000792987-16-000063-index.html")</f>
        <v>http://www.sec.gov/Archives/edgar/data/792987/0000792987-16-000063-index.html</v>
      </c>
    </row>
    <row r="5653" spans="1:6" x14ac:dyDescent="0.2">
      <c r="A5653" t="s">
        <v>5143</v>
      </c>
      <c r="B5653" s="1">
        <v>795403</v>
      </c>
      <c r="C5653" s="1">
        <v>3490</v>
      </c>
      <c r="D5653" s="2">
        <v>42429</v>
      </c>
      <c r="E5653" s="1" t="s">
        <v>18</v>
      </c>
      <c r="F5653" t="str">
        <f>HYPERLINK("http://www.sec.gov/Archives/edgar/data/795403/0001047469-16-010540-index.html")</f>
        <v>http://www.sec.gov/Archives/edgar/data/795403/0001047469-16-010540-index.html</v>
      </c>
    </row>
    <row r="5654" spans="1:6" x14ac:dyDescent="0.2">
      <c r="A5654" t="s">
        <v>5144</v>
      </c>
      <c r="B5654" s="1">
        <v>799088</v>
      </c>
      <c r="C5654" s="1">
        <v>7830</v>
      </c>
      <c r="D5654" s="2">
        <v>42429</v>
      </c>
      <c r="E5654" s="1" t="s">
        <v>18</v>
      </c>
      <c r="F5654" t="str">
        <f>HYPERLINK("http://www.sec.gov/Archives/edgar/data/799088/0001628280-16-011964-index.html")</f>
        <v>http://www.sec.gov/Archives/edgar/data/799088/0001628280-16-011964-index.html</v>
      </c>
    </row>
    <row r="5655" spans="1:6" x14ac:dyDescent="0.2">
      <c r="A5655" t="s">
        <v>5145</v>
      </c>
      <c r="B5655" s="1">
        <v>799233</v>
      </c>
      <c r="C5655" s="1">
        <v>4213</v>
      </c>
      <c r="D5655" s="2">
        <v>42429</v>
      </c>
      <c r="E5655" s="1" t="s">
        <v>18</v>
      </c>
      <c r="F5655" t="str">
        <f>HYPERLINK("http://www.sec.gov/Archives/edgar/data/799233/0000799233-16-000056-index.html")</f>
        <v>http://www.sec.gov/Archives/edgar/data/799233/0000799233-16-000056-index.html</v>
      </c>
    </row>
    <row r="5656" spans="1:6" x14ac:dyDescent="0.2">
      <c r="A5656" t="s">
        <v>5146</v>
      </c>
      <c r="B5656" s="1">
        <v>801337</v>
      </c>
      <c r="C5656" s="1">
        <v>6021</v>
      </c>
      <c r="D5656" s="2">
        <v>42429</v>
      </c>
      <c r="E5656" s="1" t="s">
        <v>18</v>
      </c>
      <c r="F5656" t="str">
        <f>HYPERLINK("http://www.sec.gov/Archives/edgar/data/801337/0000801337-16-000172-index.html")</f>
        <v>http://www.sec.gov/Archives/edgar/data/801337/0000801337-16-000172-index.html</v>
      </c>
    </row>
    <row r="5657" spans="1:6" x14ac:dyDescent="0.2">
      <c r="A5657" t="s">
        <v>5147</v>
      </c>
      <c r="B5657" s="1">
        <v>805264</v>
      </c>
      <c r="C5657" s="1">
        <v>2821</v>
      </c>
      <c r="D5657" s="2">
        <v>42429</v>
      </c>
      <c r="E5657" s="1" t="s">
        <v>18</v>
      </c>
      <c r="F5657" t="str">
        <f>HYPERLINK("http://www.sec.gov/Archives/edgar/data/805264/0001193125-16-483042-index.html")</f>
        <v>http://www.sec.gov/Archives/edgar/data/805264/0001193125-16-483042-index.html</v>
      </c>
    </row>
    <row r="5658" spans="1:6" x14ac:dyDescent="0.2">
      <c r="A5658" t="s">
        <v>5148</v>
      </c>
      <c r="B5658" s="1">
        <v>805928</v>
      </c>
      <c r="C5658" s="1">
        <v>3845</v>
      </c>
      <c r="D5658" s="2">
        <v>42429</v>
      </c>
      <c r="E5658" s="1" t="s">
        <v>18</v>
      </c>
      <c r="F5658" t="str">
        <f>HYPERLINK("http://www.sec.gov/Archives/edgar/data/805928/0001558370-16-003691-index.html")</f>
        <v>http://www.sec.gov/Archives/edgar/data/805928/0001558370-16-003691-index.html</v>
      </c>
    </row>
    <row r="5659" spans="1:6" x14ac:dyDescent="0.2">
      <c r="A5659" t="s">
        <v>5149</v>
      </c>
      <c r="B5659" s="1">
        <v>80661</v>
      </c>
      <c r="C5659" s="1">
        <v>6331</v>
      </c>
      <c r="D5659" s="2">
        <v>42429</v>
      </c>
      <c r="E5659" s="1" t="s">
        <v>18</v>
      </c>
      <c r="F5659" t="str">
        <f>HYPERLINK("http://www.sec.gov/Archives/edgar/data/80661/0000080661-16-000080-index.html")</f>
        <v>http://www.sec.gov/Archives/edgar/data/80661/0000080661-16-000080-index.html</v>
      </c>
    </row>
    <row r="5660" spans="1:6" x14ac:dyDescent="0.2">
      <c r="A5660" t="s">
        <v>5150</v>
      </c>
      <c r="B5660" s="1">
        <v>81023</v>
      </c>
      <c r="C5660" s="1">
        <v>4931</v>
      </c>
      <c r="D5660" s="2">
        <v>42429</v>
      </c>
      <c r="E5660" s="1" t="s">
        <v>18</v>
      </c>
      <c r="F5660" t="str">
        <f>HYPERLINK("http://www.sec.gov/Archives/edgar/data/81023/0001108426-16-000165-index.html")</f>
        <v>http://www.sec.gov/Archives/edgar/data/81023/0001108426-16-000165-index.html</v>
      </c>
    </row>
    <row r="5661" spans="1:6" x14ac:dyDescent="0.2">
      <c r="A5661" t="s">
        <v>5151</v>
      </c>
      <c r="B5661" s="1">
        <v>81100</v>
      </c>
      <c r="C5661" s="1">
        <v>4911</v>
      </c>
      <c r="D5661" s="2">
        <v>42429</v>
      </c>
      <c r="E5661" s="1" t="s">
        <v>18</v>
      </c>
      <c r="F5661" t="str">
        <f>HYPERLINK("http://www.sec.gov/Archives/edgar/data/81100/0001085392-16-000029-index.html")</f>
        <v>http://www.sec.gov/Archives/edgar/data/81100/0001085392-16-000029-index.html</v>
      </c>
    </row>
    <row r="5662" spans="1:6" x14ac:dyDescent="0.2">
      <c r="A5662" t="s">
        <v>5152</v>
      </c>
      <c r="B5662" s="1">
        <v>813762</v>
      </c>
      <c r="C5662" s="1">
        <v>2911</v>
      </c>
      <c r="D5662" s="2">
        <v>42429</v>
      </c>
      <c r="E5662" s="1" t="s">
        <v>18</v>
      </c>
      <c r="F5662" t="str">
        <f>HYPERLINK("http://www.sec.gov/Archives/edgar/data/813762/0000813762-16-000057-index.html")</f>
        <v>http://www.sec.gov/Archives/edgar/data/813762/0000813762-16-000057-index.html</v>
      </c>
    </row>
    <row r="5663" spans="1:6" x14ac:dyDescent="0.2">
      <c r="A5663" t="s">
        <v>5153</v>
      </c>
      <c r="B5663" s="1">
        <v>814184</v>
      </c>
      <c r="C5663" s="1">
        <v>6021</v>
      </c>
      <c r="D5663" s="2">
        <v>42429</v>
      </c>
      <c r="E5663" s="1" t="s">
        <v>18</v>
      </c>
      <c r="F5663" t="str">
        <f>HYPERLINK("http://www.sec.gov/Archives/edgar/data/814184/0000814184-16-000081-index.html")</f>
        <v>http://www.sec.gov/Archives/edgar/data/814184/0000814184-16-000081-index.html</v>
      </c>
    </row>
    <row r="5664" spans="1:6" x14ac:dyDescent="0.2">
      <c r="A5664" t="s">
        <v>5154</v>
      </c>
      <c r="B5664" s="1">
        <v>814453</v>
      </c>
      <c r="C5664" s="1">
        <v>3089</v>
      </c>
      <c r="D5664" s="2">
        <v>42429</v>
      </c>
      <c r="E5664" s="1" t="s">
        <v>18</v>
      </c>
      <c r="F5664" t="str">
        <f>HYPERLINK("http://www.sec.gov/Archives/edgar/data/814453/0000814453-16-000176-index.html")</f>
        <v>http://www.sec.gov/Archives/edgar/data/814453/0000814453-16-000176-index.html</v>
      </c>
    </row>
    <row r="5665" spans="1:6" x14ac:dyDescent="0.2">
      <c r="A5665" t="s">
        <v>5155</v>
      </c>
      <c r="B5665" s="1">
        <v>814549</v>
      </c>
      <c r="C5665" s="1">
        <v>7373</v>
      </c>
      <c r="D5665" s="2">
        <v>42429</v>
      </c>
      <c r="E5665" s="1" t="s">
        <v>18</v>
      </c>
      <c r="F5665" t="str">
        <f>HYPERLINK("http://www.sec.gov/Archives/edgar/data/814549/0000814549-16-000040-index.html")</f>
        <v>http://www.sec.gov/Archives/edgar/data/814549/0000814549-16-000040-index.html</v>
      </c>
    </row>
    <row r="5666" spans="1:6" x14ac:dyDescent="0.2">
      <c r="A5666" t="s">
        <v>5156</v>
      </c>
      <c r="B5666" s="1">
        <v>814585</v>
      </c>
      <c r="C5666" s="1">
        <v>6351</v>
      </c>
      <c r="D5666" s="2">
        <v>42429</v>
      </c>
      <c r="E5666" s="1" t="s">
        <v>18</v>
      </c>
      <c r="F5666" t="str">
        <f>HYPERLINK("http://www.sec.gov/Archives/edgar/data/814585/0001193125-16-485560-index.html")</f>
        <v>http://www.sec.gov/Archives/edgar/data/814585/0001193125-16-485560-index.html</v>
      </c>
    </row>
    <row r="5667" spans="1:6" x14ac:dyDescent="0.2">
      <c r="A5667" t="s">
        <v>5157</v>
      </c>
      <c r="B5667" s="1">
        <v>817979</v>
      </c>
      <c r="C5667" s="1">
        <v>3714</v>
      </c>
      <c r="D5667" s="2">
        <v>42429</v>
      </c>
      <c r="E5667" s="1" t="s">
        <v>18</v>
      </c>
      <c r="F5667" t="str">
        <f>HYPERLINK("http://www.sec.gov/Archives/edgar/data/817979/0000817979-16-000058-index.html")</f>
        <v>http://www.sec.gov/Archives/edgar/data/817979/0000817979-16-000058-index.html</v>
      </c>
    </row>
    <row r="5668" spans="1:6" x14ac:dyDescent="0.2">
      <c r="A5668" t="s">
        <v>5158</v>
      </c>
      <c r="B5668" s="1">
        <v>821026</v>
      </c>
      <c r="C5668" s="1">
        <v>5150</v>
      </c>
      <c r="D5668" s="2">
        <v>42429</v>
      </c>
      <c r="E5668" s="1" t="s">
        <v>18</v>
      </c>
      <c r="F5668" t="str">
        <f>HYPERLINK("http://www.sec.gov/Archives/edgar/data/821026/0000821026-16-000068-index.html")</f>
        <v>http://www.sec.gov/Archives/edgar/data/821026/0000821026-16-000068-index.html</v>
      </c>
    </row>
    <row r="5669" spans="1:6" x14ac:dyDescent="0.2">
      <c r="A5669" t="s">
        <v>241</v>
      </c>
      <c r="B5669" s="1">
        <v>827871</v>
      </c>
      <c r="C5669" s="1">
        <v>2834</v>
      </c>
      <c r="D5669" s="2">
        <v>42429</v>
      </c>
      <c r="E5669" s="1" t="s">
        <v>18</v>
      </c>
      <c r="F5669" t="str">
        <f>HYPERLINK("http://www.sec.gov/Archives/edgar/data/827871/0000827871-16-000049-index.html")</f>
        <v>http://www.sec.gov/Archives/edgar/data/827871/0000827871-16-000049-index.html</v>
      </c>
    </row>
    <row r="5670" spans="1:6" x14ac:dyDescent="0.2">
      <c r="A5670" t="s">
        <v>5159</v>
      </c>
      <c r="B5670" s="1">
        <v>828944</v>
      </c>
      <c r="C5670" s="1">
        <v>6021</v>
      </c>
      <c r="D5670" s="2">
        <v>42429</v>
      </c>
      <c r="E5670" s="1" t="s">
        <v>18</v>
      </c>
      <c r="F5670" t="str">
        <f>HYPERLINK("http://www.sec.gov/Archives/edgar/data/828944/0001193125-16-485517-index.html")</f>
        <v>http://www.sec.gov/Archives/edgar/data/828944/0001193125-16-485517-index.html</v>
      </c>
    </row>
    <row r="5671" spans="1:6" x14ac:dyDescent="0.2">
      <c r="A5671" t="s">
        <v>5160</v>
      </c>
      <c r="B5671" s="1">
        <v>833795</v>
      </c>
      <c r="C5671" s="1">
        <v>6500</v>
      </c>
      <c r="D5671" s="2">
        <v>42429</v>
      </c>
      <c r="E5671" s="1" t="s">
        <v>18</v>
      </c>
      <c r="F5671" t="str">
        <f>HYPERLINK("http://www.sec.gov/Archives/edgar/data/833795/0000833795-16-000032-index.html")</f>
        <v>http://www.sec.gov/Archives/edgar/data/833795/0000833795-16-000032-index.html</v>
      </c>
    </row>
    <row r="5672" spans="1:6" x14ac:dyDescent="0.2">
      <c r="A5672" t="s">
        <v>5161</v>
      </c>
      <c r="B5672" s="1">
        <v>842183</v>
      </c>
      <c r="C5672" s="1">
        <v>6798</v>
      </c>
      <c r="D5672" s="2">
        <v>42429</v>
      </c>
      <c r="E5672" s="1" t="s">
        <v>42</v>
      </c>
      <c r="F5672" t="str">
        <f>HYPERLINK("http://www.sec.gov/Archives/edgar/data/842183/0000842183-16-000075-index.html")</f>
        <v>http://www.sec.gov/Archives/edgar/data/842183/0000842183-16-000075-index.html</v>
      </c>
    </row>
    <row r="5673" spans="1:6" x14ac:dyDescent="0.2">
      <c r="A5673" t="s">
        <v>5161</v>
      </c>
      <c r="B5673" s="1">
        <v>842183</v>
      </c>
      <c r="C5673" s="1">
        <v>6798</v>
      </c>
      <c r="D5673" s="2">
        <v>42429</v>
      </c>
      <c r="E5673" s="1" t="s">
        <v>18</v>
      </c>
      <c r="F5673" t="str">
        <f>HYPERLINK("http://www.sec.gov/Archives/edgar/data/842183/0000842183-16-000076-index.html")</f>
        <v>http://www.sec.gov/Archives/edgar/data/842183/0000842183-16-000076-index.html</v>
      </c>
    </row>
    <row r="5674" spans="1:6" x14ac:dyDescent="0.2">
      <c r="A5674" t="s">
        <v>5162</v>
      </c>
      <c r="B5674" s="1">
        <v>844143</v>
      </c>
      <c r="C5674" s="1">
        <v>2300</v>
      </c>
      <c r="D5674" s="2">
        <v>42429</v>
      </c>
      <c r="E5674" s="1" t="s">
        <v>18</v>
      </c>
      <c r="F5674" t="str">
        <f>HYPERLINK("http://www.sec.gov/Archives/edgar/data/844143/0001047469-16-010580-index.html")</f>
        <v>http://www.sec.gov/Archives/edgar/data/844143/0001047469-16-010580-index.html</v>
      </c>
    </row>
    <row r="5675" spans="1:6" x14ac:dyDescent="0.2">
      <c r="A5675" t="s">
        <v>5163</v>
      </c>
      <c r="B5675" s="1">
        <v>850141</v>
      </c>
      <c r="C5675" s="1">
        <v>6331</v>
      </c>
      <c r="D5675" s="2">
        <v>42429</v>
      </c>
      <c r="E5675" s="1" t="s">
        <v>18</v>
      </c>
      <c r="F5675" t="str">
        <f>HYPERLINK("http://www.sec.gov/Archives/edgar/data/850141/0001144204-16-085045-index.html")</f>
        <v>http://www.sec.gov/Archives/edgar/data/850141/0001144204-16-085045-index.html</v>
      </c>
    </row>
    <row r="5676" spans="1:6" x14ac:dyDescent="0.2">
      <c r="A5676" t="s">
        <v>4356</v>
      </c>
      <c r="B5676" s="1">
        <v>850429</v>
      </c>
      <c r="C5676" s="1">
        <v>3350</v>
      </c>
      <c r="D5676" s="2">
        <v>42429</v>
      </c>
      <c r="E5676" s="1" t="s">
        <v>18</v>
      </c>
      <c r="F5676" t="str">
        <f>HYPERLINK("http://www.sec.gov/Archives/edgar/data/850429/0000850429-16-000109-index.html")</f>
        <v>http://www.sec.gov/Archives/edgar/data/850429/0000850429-16-000109-index.html</v>
      </c>
    </row>
    <row r="5677" spans="1:6" x14ac:dyDescent="0.2">
      <c r="A5677" t="s">
        <v>297</v>
      </c>
      <c r="B5677" s="1">
        <v>851968</v>
      </c>
      <c r="C5677" s="1">
        <v>2273</v>
      </c>
      <c r="D5677" s="2">
        <v>42429</v>
      </c>
      <c r="E5677" s="1" t="s">
        <v>18</v>
      </c>
      <c r="F5677" t="str">
        <f>HYPERLINK("http://www.sec.gov/Archives/edgar/data/851968/0000851968-16-000120-index.html")</f>
        <v>http://www.sec.gov/Archives/edgar/data/851968/0000851968-16-000120-index.html</v>
      </c>
    </row>
    <row r="5678" spans="1:6" x14ac:dyDescent="0.2">
      <c r="A5678" t="s">
        <v>5164</v>
      </c>
      <c r="B5678" s="1">
        <v>852772</v>
      </c>
      <c r="C5678" s="1">
        <v>5812</v>
      </c>
      <c r="D5678" s="2">
        <v>42429</v>
      </c>
      <c r="E5678" s="1" t="s">
        <v>18</v>
      </c>
      <c r="F5678" t="str">
        <f>HYPERLINK("http://www.sec.gov/Archives/edgar/data/852772/0000852772-16-000103-index.html")</f>
        <v>http://www.sec.gov/Archives/edgar/data/852772/0000852772-16-000103-index.html</v>
      </c>
    </row>
    <row r="5679" spans="1:6" x14ac:dyDescent="0.2">
      <c r="A5679" t="s">
        <v>5165</v>
      </c>
      <c r="B5679" s="1">
        <v>856982</v>
      </c>
      <c r="C5679" s="1">
        <v>3841</v>
      </c>
      <c r="D5679" s="2">
        <v>42429</v>
      </c>
      <c r="E5679" s="1" t="s">
        <v>18</v>
      </c>
      <c r="F5679" t="str">
        <f>HYPERLINK("http://www.sec.gov/Archives/edgar/data/856982/0000856982-16-000076-index.html")</f>
        <v>http://www.sec.gov/Archives/edgar/data/856982/0000856982-16-000076-index.html</v>
      </c>
    </row>
    <row r="5680" spans="1:6" x14ac:dyDescent="0.2">
      <c r="A5680" t="s">
        <v>5166</v>
      </c>
      <c r="B5680" s="1">
        <v>858339</v>
      </c>
      <c r="C5680" s="1">
        <v>7011</v>
      </c>
      <c r="D5680" s="2">
        <v>42429</v>
      </c>
      <c r="E5680" s="1" t="s">
        <v>18</v>
      </c>
      <c r="F5680" t="str">
        <f>HYPERLINK("http://www.sec.gov/Archives/edgar/data/858339/0000858339-16-000207-index.html")</f>
        <v>http://www.sec.gov/Archives/edgar/data/858339/0000858339-16-000207-index.html</v>
      </c>
    </row>
    <row r="5681" spans="1:6" x14ac:dyDescent="0.2">
      <c r="A5681" t="s">
        <v>5167</v>
      </c>
      <c r="B5681" s="1">
        <v>859598</v>
      </c>
      <c r="C5681" s="1">
        <v>4412</v>
      </c>
      <c r="D5681" s="2">
        <v>42429</v>
      </c>
      <c r="E5681" s="1" t="s">
        <v>18</v>
      </c>
      <c r="F5681" t="str">
        <f>HYPERLINK("http://www.sec.gov/Archives/edgar/data/859598/0000859598-16-000211-index.html")</f>
        <v>http://www.sec.gov/Archives/edgar/data/859598/0000859598-16-000211-index.html</v>
      </c>
    </row>
    <row r="5682" spans="1:6" x14ac:dyDescent="0.2">
      <c r="A5682" t="s">
        <v>5168</v>
      </c>
      <c r="B5682" s="1">
        <v>861842</v>
      </c>
      <c r="C5682" s="1">
        <v>6022</v>
      </c>
      <c r="D5682" s="2">
        <v>42429</v>
      </c>
      <c r="E5682" s="1" t="s">
        <v>18</v>
      </c>
      <c r="F5682" t="str">
        <f>HYPERLINK("http://www.sec.gov/Archives/edgar/data/861842/0001437749-16-026345-index.html")</f>
        <v>http://www.sec.gov/Archives/edgar/data/861842/0001437749-16-026345-index.html</v>
      </c>
    </row>
    <row r="5683" spans="1:6" x14ac:dyDescent="0.2">
      <c r="A5683" t="s">
        <v>5169</v>
      </c>
      <c r="B5683" s="1">
        <v>862692</v>
      </c>
      <c r="C5683" s="1">
        <v>8090</v>
      </c>
      <c r="D5683" s="2">
        <v>42429</v>
      </c>
      <c r="E5683" s="1" t="s">
        <v>18</v>
      </c>
      <c r="F5683" t="str">
        <f>HYPERLINK("http://www.sec.gov/Archives/edgar/data/862692/0001193125-16-485790-index.html")</f>
        <v>http://www.sec.gov/Archives/edgar/data/862692/0001193125-16-485790-index.html</v>
      </c>
    </row>
    <row r="5684" spans="1:6" x14ac:dyDescent="0.2">
      <c r="A5684" t="s">
        <v>5170</v>
      </c>
      <c r="B5684" s="1">
        <v>863436</v>
      </c>
      <c r="C5684" s="1">
        <v>3672</v>
      </c>
      <c r="D5684" s="2">
        <v>42429</v>
      </c>
      <c r="E5684" s="1" t="s">
        <v>18</v>
      </c>
      <c r="F5684" t="str">
        <f>HYPERLINK("http://www.sec.gov/Archives/edgar/data/863436/0000863436-16-000039-index.html")</f>
        <v>http://www.sec.gov/Archives/edgar/data/863436/0000863436-16-000039-index.html</v>
      </c>
    </row>
    <row r="5685" spans="1:6" x14ac:dyDescent="0.2">
      <c r="A5685" t="s">
        <v>5171</v>
      </c>
      <c r="B5685" s="1">
        <v>865752</v>
      </c>
      <c r="C5685" s="1">
        <v>2086</v>
      </c>
      <c r="D5685" s="2">
        <v>42429</v>
      </c>
      <c r="E5685" s="1" t="s">
        <v>18</v>
      </c>
      <c r="F5685" t="str">
        <f>HYPERLINK("http://www.sec.gov/Archives/edgar/data/865752/0001104659-16-100960-index.html")</f>
        <v>http://www.sec.gov/Archives/edgar/data/865752/0001104659-16-100960-index.html</v>
      </c>
    </row>
    <row r="5686" spans="1:6" x14ac:dyDescent="0.2">
      <c r="A5686" t="s">
        <v>5172</v>
      </c>
      <c r="B5686" s="1">
        <v>866829</v>
      </c>
      <c r="C5686" s="1">
        <v>1389</v>
      </c>
      <c r="D5686" s="2">
        <v>42429</v>
      </c>
      <c r="E5686" s="1" t="s">
        <v>18</v>
      </c>
      <c r="F5686" t="str">
        <f>HYPERLINK("http://www.sec.gov/Archives/edgar/data/866829/0000866829-16-000061-index.html")</f>
        <v>http://www.sec.gov/Archives/edgar/data/866829/0000866829-16-000061-index.html</v>
      </c>
    </row>
    <row r="5687" spans="1:6" x14ac:dyDescent="0.2">
      <c r="A5687" t="s">
        <v>5173</v>
      </c>
      <c r="B5687" s="1">
        <v>872448</v>
      </c>
      <c r="C5687" s="1">
        <v>3674</v>
      </c>
      <c r="D5687" s="2">
        <v>42429</v>
      </c>
      <c r="E5687" s="1" t="s">
        <v>18</v>
      </c>
      <c r="F5687" t="str">
        <f>HYPERLINK("http://www.sec.gov/Archives/edgar/data/872448/0000872448-16-000043-index.html")</f>
        <v>http://www.sec.gov/Archives/edgar/data/872448/0000872448-16-000043-index.html</v>
      </c>
    </row>
    <row r="5688" spans="1:6" x14ac:dyDescent="0.2">
      <c r="A5688" t="s">
        <v>5174</v>
      </c>
      <c r="B5688" s="1">
        <v>873860</v>
      </c>
      <c r="C5688" s="1">
        <v>6162</v>
      </c>
      <c r="D5688" s="2">
        <v>42429</v>
      </c>
      <c r="E5688" s="1" t="s">
        <v>18</v>
      </c>
      <c r="F5688" t="str">
        <f>HYPERLINK("http://www.sec.gov/Archives/edgar/data/873860/0001628280-16-011876-index.html")</f>
        <v>http://www.sec.gov/Archives/edgar/data/873860/0001628280-16-011876-index.html</v>
      </c>
    </row>
    <row r="5689" spans="1:6" x14ac:dyDescent="0.2">
      <c r="A5689" t="s">
        <v>1501</v>
      </c>
      <c r="B5689" s="1">
        <v>874501</v>
      </c>
      <c r="C5689" s="1">
        <v>6351</v>
      </c>
      <c r="D5689" s="2">
        <v>42429</v>
      </c>
      <c r="E5689" s="1" t="s">
        <v>18</v>
      </c>
      <c r="F5689" t="str">
        <f>HYPERLINK("http://www.sec.gov/Archives/edgar/data/874501/0000874501-16-000126-index.html")</f>
        <v>http://www.sec.gov/Archives/edgar/data/874501/0000874501-16-000126-index.html</v>
      </c>
    </row>
    <row r="5690" spans="1:6" x14ac:dyDescent="0.2">
      <c r="A5690" t="s">
        <v>5175</v>
      </c>
      <c r="B5690" s="1">
        <v>875357</v>
      </c>
      <c r="C5690" s="1">
        <v>6021</v>
      </c>
      <c r="D5690" s="2">
        <v>42429</v>
      </c>
      <c r="E5690" s="1" t="s">
        <v>18</v>
      </c>
      <c r="F5690" t="str">
        <f>HYPERLINK("http://www.sec.gov/Archives/edgar/data/875357/0000875357-16-000044-index.html")</f>
        <v>http://www.sec.gov/Archives/edgar/data/875357/0000875357-16-000044-index.html</v>
      </c>
    </row>
    <row r="5691" spans="1:6" x14ac:dyDescent="0.2">
      <c r="A5691" t="s">
        <v>407</v>
      </c>
      <c r="B5691" s="1">
        <v>877212</v>
      </c>
      <c r="C5691" s="1">
        <v>3560</v>
      </c>
      <c r="D5691" s="2">
        <v>42429</v>
      </c>
      <c r="E5691" s="1" t="s">
        <v>18</v>
      </c>
      <c r="F5691" t="str">
        <f>HYPERLINK("http://www.sec.gov/Archives/edgar/data/877212/0001628280-16-011978-index.html")</f>
        <v>http://www.sec.gov/Archives/edgar/data/877212/0001628280-16-011978-index.html</v>
      </c>
    </row>
    <row r="5692" spans="1:6" x14ac:dyDescent="0.2">
      <c r="A5692" t="s">
        <v>5176</v>
      </c>
      <c r="B5692" s="1">
        <v>878526</v>
      </c>
      <c r="C5692" s="1">
        <v>3845</v>
      </c>
      <c r="D5692" s="2">
        <v>42429</v>
      </c>
      <c r="E5692" s="1" t="s">
        <v>18</v>
      </c>
      <c r="F5692" t="str">
        <f>HYPERLINK("http://www.sec.gov/Archives/edgar/data/878526/0000878526-16-000126-index.html")</f>
        <v>http://www.sec.gov/Archives/edgar/data/878526/0000878526-16-000126-index.html</v>
      </c>
    </row>
    <row r="5693" spans="1:6" x14ac:dyDescent="0.2">
      <c r="A5693" t="s">
        <v>5177</v>
      </c>
      <c r="B5693" s="1">
        <v>878560</v>
      </c>
      <c r="C5693" s="1">
        <v>1531</v>
      </c>
      <c r="D5693" s="2">
        <v>42429</v>
      </c>
      <c r="E5693" s="1" t="s">
        <v>18</v>
      </c>
      <c r="F5693" t="str">
        <f>HYPERLINK("http://www.sec.gov/Archives/edgar/data/878560/0000878560-16-000190-index.html")</f>
        <v>http://www.sec.gov/Archives/edgar/data/878560/0000878560-16-000190-index.html</v>
      </c>
    </row>
    <row r="5694" spans="1:6" x14ac:dyDescent="0.2">
      <c r="A5694" t="s">
        <v>5178</v>
      </c>
      <c r="B5694" s="1">
        <v>878927</v>
      </c>
      <c r="C5694" s="1">
        <v>4213</v>
      </c>
      <c r="D5694" s="2">
        <v>42429</v>
      </c>
      <c r="E5694" s="1" t="s">
        <v>18</v>
      </c>
      <c r="F5694" t="str">
        <f>HYPERLINK("http://www.sec.gov/Archives/edgar/data/878927/0000878927-16-000055-index.html")</f>
        <v>http://www.sec.gov/Archives/edgar/data/878927/0000878927-16-000055-index.html</v>
      </c>
    </row>
    <row r="5695" spans="1:6" x14ac:dyDescent="0.2">
      <c r="A5695" t="s">
        <v>5179</v>
      </c>
      <c r="B5695" s="1">
        <v>879585</v>
      </c>
      <c r="C5695" s="1">
        <v>4813</v>
      </c>
      <c r="D5695" s="2">
        <v>42429</v>
      </c>
      <c r="E5695" s="1" t="s">
        <v>18</v>
      </c>
      <c r="F5695" t="str">
        <f>HYPERLINK("http://www.sec.gov/Archives/edgar/data/879585/0001558370-16-003680-index.html")</f>
        <v>http://www.sec.gov/Archives/edgar/data/879585/0001558370-16-003680-index.html</v>
      </c>
    </row>
    <row r="5696" spans="1:6" x14ac:dyDescent="0.2">
      <c r="A5696" t="s">
        <v>5180</v>
      </c>
      <c r="B5696" s="1">
        <v>880631</v>
      </c>
      <c r="C5696" s="1">
        <v>6211</v>
      </c>
      <c r="D5696" s="2">
        <v>42429</v>
      </c>
      <c r="E5696" s="1" t="s">
        <v>18</v>
      </c>
      <c r="F5696" t="str">
        <f>HYPERLINK("http://www.sec.gov/Archives/edgar/data/880631/0001193125-16-485095-index.html")</f>
        <v>http://www.sec.gov/Archives/edgar/data/880631/0001193125-16-485095-index.html</v>
      </c>
    </row>
    <row r="5697" spans="1:6" x14ac:dyDescent="0.2">
      <c r="A5697" t="s">
        <v>5181</v>
      </c>
      <c r="B5697" s="1">
        <v>883569</v>
      </c>
      <c r="C5697" s="1">
        <v>3873</v>
      </c>
      <c r="D5697" s="2">
        <v>42429</v>
      </c>
      <c r="E5697" s="1" t="s">
        <v>18</v>
      </c>
      <c r="F5697" t="str">
        <f>HYPERLINK("http://www.sec.gov/Archives/edgar/data/883569/0000883569-16-000005-index.html")</f>
        <v>http://www.sec.gov/Archives/edgar/data/883569/0000883569-16-000005-index.html</v>
      </c>
    </row>
    <row r="5698" spans="1:6" x14ac:dyDescent="0.2">
      <c r="A5698" t="s">
        <v>5182</v>
      </c>
      <c r="B5698" s="1">
        <v>884624</v>
      </c>
      <c r="C5698" s="1">
        <v>3841</v>
      </c>
      <c r="D5698" s="2">
        <v>42429</v>
      </c>
      <c r="E5698" s="1" t="s">
        <v>18</v>
      </c>
      <c r="F5698" t="str">
        <f>HYPERLINK("http://www.sec.gov/Archives/edgar/data/884624/0001564590-16-013722-index.html")</f>
        <v>http://www.sec.gov/Archives/edgar/data/884624/0001564590-16-013722-index.html</v>
      </c>
    </row>
    <row r="5699" spans="1:6" x14ac:dyDescent="0.2">
      <c r="A5699" t="s">
        <v>5183</v>
      </c>
      <c r="B5699" s="1">
        <v>884713</v>
      </c>
      <c r="C5699" s="1">
        <v>2086</v>
      </c>
      <c r="D5699" s="2">
        <v>42429</v>
      </c>
      <c r="E5699" s="1" t="s">
        <v>18</v>
      </c>
      <c r="F5699" t="str">
        <f>HYPERLINK("http://www.sec.gov/Archives/edgar/data/884713/0001193125-16-485439-index.html")</f>
        <v>http://www.sec.gov/Archives/edgar/data/884713/0001193125-16-485439-index.html</v>
      </c>
    </row>
    <row r="5700" spans="1:6" x14ac:dyDescent="0.2">
      <c r="A5700" t="s">
        <v>5184</v>
      </c>
      <c r="B5700" s="1">
        <v>884731</v>
      </c>
      <c r="C5700" s="1">
        <v>2836</v>
      </c>
      <c r="D5700" s="2">
        <v>42429</v>
      </c>
      <c r="E5700" s="1" t="s">
        <v>18</v>
      </c>
      <c r="F5700" t="str">
        <f>HYPERLINK("http://www.sec.gov/Archives/edgar/data/884731/0001193125-16-485544-index.html")</f>
        <v>http://www.sec.gov/Archives/edgar/data/884731/0001193125-16-485544-index.html</v>
      </c>
    </row>
    <row r="5701" spans="1:6" x14ac:dyDescent="0.2">
      <c r="A5701" t="s">
        <v>5185</v>
      </c>
      <c r="B5701" s="1">
        <v>885306</v>
      </c>
      <c r="C5701" s="1">
        <v>3845</v>
      </c>
      <c r="D5701" s="2">
        <v>42429</v>
      </c>
      <c r="E5701" s="1" t="s">
        <v>18</v>
      </c>
      <c r="F5701" t="str">
        <f>HYPERLINK("http://www.sec.gov/Archives/edgar/data/885306/0001193125-16-485689-index.html")</f>
        <v>http://www.sec.gov/Archives/edgar/data/885306/0001193125-16-485689-index.html</v>
      </c>
    </row>
    <row r="5702" spans="1:6" x14ac:dyDescent="0.2">
      <c r="A5702" t="s">
        <v>5186</v>
      </c>
      <c r="B5702" s="1">
        <v>886035</v>
      </c>
      <c r="C5702" s="1">
        <v>3357</v>
      </c>
      <c r="D5702" s="2">
        <v>42429</v>
      </c>
      <c r="E5702" s="1" t="s">
        <v>18</v>
      </c>
      <c r="F5702" t="str">
        <f>HYPERLINK("http://www.sec.gov/Archives/edgar/data/886035/0000886035-16-000144-index.html")</f>
        <v>http://www.sec.gov/Archives/edgar/data/886035/0000886035-16-000144-index.html</v>
      </c>
    </row>
    <row r="5703" spans="1:6" x14ac:dyDescent="0.2">
      <c r="A5703" t="s">
        <v>5187</v>
      </c>
      <c r="B5703" s="1">
        <v>887343</v>
      </c>
      <c r="C5703" s="1">
        <v>6022</v>
      </c>
      <c r="D5703" s="2">
        <v>42429</v>
      </c>
      <c r="E5703" s="1" t="s">
        <v>18</v>
      </c>
      <c r="F5703" t="str">
        <f>HYPERLINK("http://www.sec.gov/Archives/edgar/data/887343/0000887343-16-000045-index.html")</f>
        <v>http://www.sec.gov/Archives/edgar/data/887343/0000887343-16-000045-index.html</v>
      </c>
    </row>
    <row r="5704" spans="1:6" x14ac:dyDescent="0.2">
      <c r="A5704" t="s">
        <v>5188</v>
      </c>
      <c r="B5704" s="1">
        <v>888491</v>
      </c>
      <c r="C5704" s="1">
        <v>6798</v>
      </c>
      <c r="D5704" s="2">
        <v>42429</v>
      </c>
      <c r="E5704" s="1" t="s">
        <v>18</v>
      </c>
      <c r="F5704" t="str">
        <f>HYPERLINK("http://www.sec.gov/Archives/edgar/data/888491/0001571049-16-012234-index.html")</f>
        <v>http://www.sec.gov/Archives/edgar/data/888491/0001571049-16-012234-index.html</v>
      </c>
    </row>
    <row r="5705" spans="1:6" x14ac:dyDescent="0.2">
      <c r="A5705" t="s">
        <v>5189</v>
      </c>
      <c r="B5705" s="1">
        <v>890564</v>
      </c>
      <c r="C5705" s="1">
        <v>7363</v>
      </c>
      <c r="D5705" s="2">
        <v>42429</v>
      </c>
      <c r="E5705" s="1" t="s">
        <v>18</v>
      </c>
      <c r="F5705" t="str">
        <f>HYPERLINK("http://www.sec.gov/Archives/edgar/data/890564/0000890564-16-000069-index.html")</f>
        <v>http://www.sec.gov/Archives/edgar/data/890564/0000890564-16-000069-index.html</v>
      </c>
    </row>
    <row r="5706" spans="1:6" x14ac:dyDescent="0.2">
      <c r="A5706" t="s">
        <v>5190</v>
      </c>
      <c r="B5706" s="1">
        <v>891103</v>
      </c>
      <c r="C5706" s="1">
        <v>5990</v>
      </c>
      <c r="D5706" s="2">
        <v>42429</v>
      </c>
      <c r="E5706" s="1" t="s">
        <v>18</v>
      </c>
      <c r="F5706" t="str">
        <f>HYPERLINK("http://www.sec.gov/Archives/edgar/data/891103/0000891103-16-000023-index.html")</f>
        <v>http://www.sec.gov/Archives/edgar/data/891103/0000891103-16-000023-index.html</v>
      </c>
    </row>
    <row r="5707" spans="1:6" x14ac:dyDescent="0.2">
      <c r="A5707" t="s">
        <v>5191</v>
      </c>
      <c r="B5707" s="1">
        <v>898174</v>
      </c>
      <c r="C5707" s="1">
        <v>6311</v>
      </c>
      <c r="D5707" s="2">
        <v>42429</v>
      </c>
      <c r="E5707" s="1" t="s">
        <v>18</v>
      </c>
      <c r="F5707" t="str">
        <f>HYPERLINK("http://www.sec.gov/Archives/edgar/data/898174/0000898174-16-000044-index.html")</f>
        <v>http://www.sec.gov/Archives/edgar/data/898174/0000898174-16-000044-index.html</v>
      </c>
    </row>
    <row r="5708" spans="1:6" x14ac:dyDescent="0.2">
      <c r="A5708" t="s">
        <v>5192</v>
      </c>
      <c r="B5708" s="1">
        <v>90144</v>
      </c>
      <c r="C5708" s="1">
        <v>4931</v>
      </c>
      <c r="D5708" s="2">
        <v>42429</v>
      </c>
      <c r="E5708" s="1" t="s">
        <v>18</v>
      </c>
      <c r="F5708" t="str">
        <f>HYPERLINK("http://www.sec.gov/Archives/edgar/data/90144/0001081316-16-000023-index.html")</f>
        <v>http://www.sec.gov/Archives/edgar/data/90144/0001081316-16-000023-index.html</v>
      </c>
    </row>
    <row r="5709" spans="1:6" x14ac:dyDescent="0.2">
      <c r="A5709" t="s">
        <v>5193</v>
      </c>
      <c r="B5709" s="1">
        <v>902274</v>
      </c>
      <c r="C5709" s="1">
        <v>3220</v>
      </c>
      <c r="D5709" s="2">
        <v>42429</v>
      </c>
      <c r="E5709" s="1" t="s">
        <v>18</v>
      </c>
      <c r="F5709" t="str">
        <f>HYPERLINK("http://www.sec.gov/Archives/edgar/data/902274/0000902274-16-000250-index.html")</f>
        <v>http://www.sec.gov/Archives/edgar/data/902274/0000902274-16-000250-index.html</v>
      </c>
    </row>
    <row r="5710" spans="1:6" x14ac:dyDescent="0.2">
      <c r="A5710" t="s">
        <v>5194</v>
      </c>
      <c r="B5710" s="1">
        <v>904163</v>
      </c>
      <c r="C5710" s="1">
        <v>6311</v>
      </c>
      <c r="D5710" s="2">
        <v>42429</v>
      </c>
      <c r="E5710" s="1" t="s">
        <v>18</v>
      </c>
      <c r="F5710" t="str">
        <f>HYPERLINK("http://www.sec.gov/Archives/edgar/data/904163/0001193125-16-485504-index.html")</f>
        <v>http://www.sec.gov/Archives/edgar/data/904163/0001193125-16-485504-index.html</v>
      </c>
    </row>
    <row r="5711" spans="1:6" x14ac:dyDescent="0.2">
      <c r="A5711" t="s">
        <v>5195</v>
      </c>
      <c r="B5711" s="1">
        <v>90498</v>
      </c>
      <c r="C5711" s="1">
        <v>6021</v>
      </c>
      <c r="D5711" s="2">
        <v>42429</v>
      </c>
      <c r="E5711" s="1" t="s">
        <v>18</v>
      </c>
      <c r="F5711" t="str">
        <f>HYPERLINK("http://www.sec.gov/Archives/edgar/data/90498/0001171843-16-008237-index.html")</f>
        <v>http://www.sec.gov/Archives/edgar/data/90498/0001171843-16-008237-index.html</v>
      </c>
    </row>
    <row r="5712" spans="1:6" x14ac:dyDescent="0.2">
      <c r="A5712" t="s">
        <v>5196</v>
      </c>
      <c r="B5712" s="1">
        <v>910073</v>
      </c>
      <c r="C5712" s="1">
        <v>6036</v>
      </c>
      <c r="D5712" s="2">
        <v>42429</v>
      </c>
      <c r="E5712" s="1" t="s">
        <v>18</v>
      </c>
      <c r="F5712" t="str">
        <f>HYPERLINK("http://www.sec.gov/Archives/edgar/data/910073/0001193125-16-485605-index.html")</f>
        <v>http://www.sec.gov/Archives/edgar/data/910073/0001193125-16-485605-index.html</v>
      </c>
    </row>
    <row r="5713" spans="1:6" x14ac:dyDescent="0.2">
      <c r="A5713" t="s">
        <v>1965</v>
      </c>
      <c r="B5713" s="1">
        <v>910322</v>
      </c>
      <c r="C5713" s="1">
        <v>6035</v>
      </c>
      <c r="D5713" s="2">
        <v>42429</v>
      </c>
      <c r="E5713" s="1" t="s">
        <v>18</v>
      </c>
      <c r="F5713" t="str">
        <f>HYPERLINK("http://www.sec.gov/Archives/edgar/data/910322/0000910322-16-000015-index.html")</f>
        <v>http://www.sec.gov/Archives/edgar/data/910322/0000910322-16-000015-index.html</v>
      </c>
    </row>
    <row r="5714" spans="1:6" x14ac:dyDescent="0.2">
      <c r="A5714" t="s">
        <v>5197</v>
      </c>
      <c r="B5714" s="1">
        <v>910612</v>
      </c>
      <c r="C5714" s="1">
        <v>6798</v>
      </c>
      <c r="D5714" s="2">
        <v>42429</v>
      </c>
      <c r="E5714" s="1" t="s">
        <v>18</v>
      </c>
      <c r="F5714" t="str">
        <f>HYPERLINK("http://www.sec.gov/Archives/edgar/data/910612/0000910612-16-000097-index.html")</f>
        <v>http://www.sec.gov/Archives/edgar/data/910612/0000910612-16-000097-index.html</v>
      </c>
    </row>
    <row r="5715" spans="1:6" x14ac:dyDescent="0.2">
      <c r="A5715" t="s">
        <v>5198</v>
      </c>
      <c r="B5715" s="1">
        <v>915140</v>
      </c>
      <c r="C5715" s="1">
        <v>6798</v>
      </c>
      <c r="D5715" s="2">
        <v>42429</v>
      </c>
      <c r="E5715" s="1" t="s">
        <v>18</v>
      </c>
      <c r="F5715" t="str">
        <f>HYPERLINK("http://www.sec.gov/Archives/edgar/data/915140/0000910612-16-000097-index.html")</f>
        <v>http://www.sec.gov/Archives/edgar/data/915140/0000910612-16-000097-index.html</v>
      </c>
    </row>
    <row r="5716" spans="1:6" x14ac:dyDescent="0.2">
      <c r="A5716" t="s">
        <v>5199</v>
      </c>
      <c r="B5716" s="1">
        <v>915913</v>
      </c>
      <c r="C5716" s="1">
        <v>2821</v>
      </c>
      <c r="D5716" s="2">
        <v>42429</v>
      </c>
      <c r="E5716" s="1" t="s">
        <v>18</v>
      </c>
      <c r="F5716" t="str">
        <f>HYPERLINK("http://www.sec.gov/Archives/edgar/data/915913/0000915913-16-000041-index.html")</f>
        <v>http://www.sec.gov/Archives/edgar/data/915913/0000915913-16-000041-index.html</v>
      </c>
    </row>
    <row r="5717" spans="1:6" x14ac:dyDescent="0.2">
      <c r="A5717" t="s">
        <v>5200</v>
      </c>
      <c r="B5717" s="1">
        <v>916085</v>
      </c>
      <c r="C5717" s="1">
        <v>6324</v>
      </c>
      <c r="D5717" s="2">
        <v>42429</v>
      </c>
      <c r="E5717" s="1" t="s">
        <v>18</v>
      </c>
      <c r="F5717" t="str">
        <f>HYPERLINK("http://www.sec.gov/Archives/edgar/data/916085/0000916085-16-000020-index.html")</f>
        <v>http://www.sec.gov/Archives/edgar/data/916085/0000916085-16-000020-index.html</v>
      </c>
    </row>
    <row r="5718" spans="1:6" x14ac:dyDescent="0.2">
      <c r="A5718" t="s">
        <v>5201</v>
      </c>
      <c r="B5718" s="1">
        <v>917491</v>
      </c>
      <c r="C5718" s="1">
        <v>3829</v>
      </c>
      <c r="D5718" s="2">
        <v>42429</v>
      </c>
      <c r="E5718" s="1" t="s">
        <v>18</v>
      </c>
      <c r="F5718" t="str">
        <f>HYPERLINK("http://www.sec.gov/Archives/edgar/data/917491/0001193125-16-484895-index.html")</f>
        <v>http://www.sec.gov/Archives/edgar/data/917491/0001193125-16-484895-index.html</v>
      </c>
    </row>
    <row r="5719" spans="1:6" x14ac:dyDescent="0.2">
      <c r="A5719" t="s">
        <v>5202</v>
      </c>
      <c r="B5719" s="1">
        <v>91767</v>
      </c>
      <c r="C5719" s="1">
        <v>2650</v>
      </c>
      <c r="D5719" s="2">
        <v>42429</v>
      </c>
      <c r="E5719" s="1" t="s">
        <v>18</v>
      </c>
      <c r="F5719" t="str">
        <f>HYPERLINK("http://www.sec.gov/Archives/edgar/data/91767/0001193125-16-485573-index.html")</f>
        <v>http://www.sec.gov/Archives/edgar/data/91767/0001193125-16-485573-index.html</v>
      </c>
    </row>
    <row r="5720" spans="1:6" x14ac:dyDescent="0.2">
      <c r="A5720" t="s">
        <v>5203</v>
      </c>
      <c r="B5720" s="1">
        <v>91928</v>
      </c>
      <c r="C5720" s="1">
        <v>4924</v>
      </c>
      <c r="D5720" s="2">
        <v>42429</v>
      </c>
      <c r="E5720" s="1" t="s">
        <v>18</v>
      </c>
      <c r="F5720" t="str">
        <f>HYPERLINK("http://www.sec.gov/Archives/edgar/data/91928/0000091928-16-000088-index.html")</f>
        <v>http://www.sec.gov/Archives/edgar/data/91928/0000091928-16-000088-index.html</v>
      </c>
    </row>
    <row r="5721" spans="1:6" x14ac:dyDescent="0.2">
      <c r="A5721" t="s">
        <v>4792</v>
      </c>
      <c r="B5721" s="1">
        <v>920148</v>
      </c>
      <c r="C5721" s="1">
        <v>8071</v>
      </c>
      <c r="D5721" s="2">
        <v>42429</v>
      </c>
      <c r="E5721" s="1" t="s">
        <v>18</v>
      </c>
      <c r="F5721" t="str">
        <f>HYPERLINK("http://www.sec.gov/Archives/edgar/data/920148/0000920148-16-000162-index.html")</f>
        <v>http://www.sec.gov/Archives/edgar/data/920148/0000920148-16-000162-index.html</v>
      </c>
    </row>
    <row r="5722" spans="1:6" x14ac:dyDescent="0.2">
      <c r="A5722" t="s">
        <v>5204</v>
      </c>
      <c r="B5722" s="1">
        <v>920371</v>
      </c>
      <c r="C5722" s="1">
        <v>3420</v>
      </c>
      <c r="D5722" s="2">
        <v>42429</v>
      </c>
      <c r="E5722" s="1" t="s">
        <v>18</v>
      </c>
      <c r="F5722" t="str">
        <f>HYPERLINK("http://www.sec.gov/Archives/edgar/data/920371/0000920371-16-000208-index.html")</f>
        <v>http://www.sec.gov/Archives/edgar/data/920371/0000920371-16-000208-index.html</v>
      </c>
    </row>
    <row r="5723" spans="1:6" x14ac:dyDescent="0.2">
      <c r="A5723" t="s">
        <v>5205</v>
      </c>
      <c r="B5723" s="1">
        <v>920424</v>
      </c>
      <c r="C5723" s="1">
        <v>6211</v>
      </c>
      <c r="D5723" s="2">
        <v>42429</v>
      </c>
      <c r="E5723" s="1" t="s">
        <v>18</v>
      </c>
      <c r="F5723" t="str">
        <f>HYPERLINK("http://www.sec.gov/Archives/edgar/data/920424/0001047469-16-010576-index.html")</f>
        <v>http://www.sec.gov/Archives/edgar/data/920424/0001047469-16-010576-index.html</v>
      </c>
    </row>
    <row r="5724" spans="1:6" x14ac:dyDescent="0.2">
      <c r="A5724" t="s">
        <v>5206</v>
      </c>
      <c r="B5724" s="1">
        <v>921299</v>
      </c>
      <c r="C5724" s="1">
        <v>2834</v>
      </c>
      <c r="D5724" s="2">
        <v>42429</v>
      </c>
      <c r="E5724" s="1" t="s">
        <v>18</v>
      </c>
      <c r="F5724" t="str">
        <f>HYPERLINK("http://www.sec.gov/Archives/edgar/data/921299/0001564590-16-013728-index.html")</f>
        <v>http://www.sec.gov/Archives/edgar/data/921299/0001564590-16-013728-index.html</v>
      </c>
    </row>
    <row r="5725" spans="1:6" x14ac:dyDescent="0.2">
      <c r="A5725" t="s">
        <v>5207</v>
      </c>
      <c r="B5725" s="1">
        <v>922864</v>
      </c>
      <c r="C5725" s="1">
        <v>6798</v>
      </c>
      <c r="D5725" s="2">
        <v>42429</v>
      </c>
      <c r="E5725" s="1" t="s">
        <v>18</v>
      </c>
      <c r="F5725" t="str">
        <f>HYPERLINK("http://www.sec.gov/Archives/edgar/data/922864/0000922864-16-000078-index.html")</f>
        <v>http://www.sec.gov/Archives/edgar/data/922864/0000922864-16-000078-index.html</v>
      </c>
    </row>
    <row r="5726" spans="1:6" x14ac:dyDescent="0.2">
      <c r="A5726" t="s">
        <v>5208</v>
      </c>
      <c r="B5726" s="1">
        <v>926660</v>
      </c>
      <c r="C5726" s="1">
        <v>6513</v>
      </c>
      <c r="D5726" s="2">
        <v>42429</v>
      </c>
      <c r="E5726" s="1" t="s">
        <v>18</v>
      </c>
      <c r="F5726" t="str">
        <f>HYPERLINK("http://www.sec.gov/Archives/edgar/data/926660/0000922864-16-000078-index.html")</f>
        <v>http://www.sec.gov/Archives/edgar/data/926660/0000922864-16-000078-index.html</v>
      </c>
    </row>
    <row r="5727" spans="1:6" x14ac:dyDescent="0.2">
      <c r="A5727" t="s">
        <v>5209</v>
      </c>
      <c r="B5727" s="1">
        <v>928576</v>
      </c>
      <c r="C5727" s="1">
        <v>4911</v>
      </c>
      <c r="D5727" s="2">
        <v>42429</v>
      </c>
      <c r="E5727" s="1" t="s">
        <v>18</v>
      </c>
      <c r="F5727" t="str">
        <f>HYPERLINK("http://www.sec.gov/Archives/edgar/data/928576/0001081316-16-000023-index.html")</f>
        <v>http://www.sec.gov/Archives/edgar/data/928576/0001081316-16-000023-index.html</v>
      </c>
    </row>
    <row r="5728" spans="1:6" x14ac:dyDescent="0.2">
      <c r="A5728" t="s">
        <v>5210</v>
      </c>
      <c r="B5728" s="1">
        <v>928658</v>
      </c>
      <c r="C5728" s="1">
        <v>4213</v>
      </c>
      <c r="D5728" s="2">
        <v>42429</v>
      </c>
      <c r="E5728" s="1" t="s">
        <v>18</v>
      </c>
      <c r="F5728" t="str">
        <f>HYPERLINK("http://www.sec.gov/Archives/edgar/data/928658/0001008886-16-000285-index.html")</f>
        <v>http://www.sec.gov/Archives/edgar/data/928658/0001008886-16-000285-index.html</v>
      </c>
    </row>
    <row r="5729" spans="1:6" x14ac:dyDescent="0.2">
      <c r="A5729" t="s">
        <v>5211</v>
      </c>
      <c r="B5729" s="1">
        <v>929452</v>
      </c>
      <c r="C5729" s="1">
        <v>4213</v>
      </c>
      <c r="D5729" s="2">
        <v>42429</v>
      </c>
      <c r="E5729" s="1" t="s">
        <v>18</v>
      </c>
      <c r="F5729" t="str">
        <f>HYPERLINK("http://www.sec.gov/Archives/edgar/data/929452/0001008886-16-000284-index.html")</f>
        <v>http://www.sec.gov/Archives/edgar/data/929452/0001008886-16-000284-index.html</v>
      </c>
    </row>
    <row r="5730" spans="1:6" x14ac:dyDescent="0.2">
      <c r="A5730" t="s">
        <v>5212</v>
      </c>
      <c r="B5730" s="1">
        <v>9326</v>
      </c>
      <c r="C5730" s="1">
        <v>2800</v>
      </c>
      <c r="D5730" s="2">
        <v>42429</v>
      </c>
      <c r="E5730" s="1" t="s">
        <v>18</v>
      </c>
      <c r="F5730" t="str">
        <f>HYPERLINK("http://www.sec.gov/Archives/edgar/data/9326/0001140361-16-055524-index.html")</f>
        <v>http://www.sec.gov/Archives/edgar/data/9326/0001140361-16-055524-index.html</v>
      </c>
    </row>
    <row r="5731" spans="1:6" x14ac:dyDescent="0.2">
      <c r="A5731" t="s">
        <v>5213</v>
      </c>
      <c r="B5731" s="1">
        <v>933036</v>
      </c>
      <c r="C5731" s="1">
        <v>7359</v>
      </c>
      <c r="D5731" s="2">
        <v>42429</v>
      </c>
      <c r="E5731" s="1" t="s">
        <v>18</v>
      </c>
      <c r="F5731" t="str">
        <f>HYPERLINK("http://www.sec.gov/Archives/edgar/data/933036/0000933036-16-000044-index.html")</f>
        <v>http://www.sec.gov/Archives/edgar/data/933036/0000933036-16-000044-index.html</v>
      </c>
    </row>
    <row r="5732" spans="1:6" x14ac:dyDescent="0.2">
      <c r="A5732" t="s">
        <v>5214</v>
      </c>
      <c r="B5732" s="1">
        <v>933141</v>
      </c>
      <c r="C5732" s="1">
        <v>6022</v>
      </c>
      <c r="D5732" s="2">
        <v>42429</v>
      </c>
      <c r="E5732" s="1" t="s">
        <v>18</v>
      </c>
      <c r="F5732" t="str">
        <f>HYPERLINK("http://www.sec.gov/Archives/edgar/data/933141/0001628280-16-011988-index.html")</f>
        <v>http://www.sec.gov/Archives/edgar/data/933141/0001628280-16-011988-index.html</v>
      </c>
    </row>
    <row r="5733" spans="1:6" x14ac:dyDescent="0.2">
      <c r="A5733" t="s">
        <v>5215</v>
      </c>
      <c r="B5733" s="1">
        <v>934612</v>
      </c>
      <c r="C5733" s="1">
        <v>4011</v>
      </c>
      <c r="D5733" s="2">
        <v>42429</v>
      </c>
      <c r="E5733" s="1" t="s">
        <v>18</v>
      </c>
      <c r="F5733" t="str">
        <f>HYPERLINK("http://www.sec.gov/Archives/edgar/data/934612/0000934612-16-000034-index.html")</f>
        <v>http://www.sec.gov/Archives/edgar/data/934612/0000934612-16-000034-index.html</v>
      </c>
    </row>
    <row r="5734" spans="1:6" x14ac:dyDescent="0.2">
      <c r="A5734" t="s">
        <v>5216</v>
      </c>
      <c r="B5734" s="1">
        <v>939767</v>
      </c>
      <c r="C5734" s="1">
        <v>8731</v>
      </c>
      <c r="D5734" s="2">
        <v>42429</v>
      </c>
      <c r="E5734" s="1" t="s">
        <v>18</v>
      </c>
      <c r="F5734" t="str">
        <f>HYPERLINK("http://www.sec.gov/Archives/edgar/data/939767/0000939767-16-000149-index.html")</f>
        <v>http://www.sec.gov/Archives/edgar/data/939767/0000939767-16-000149-index.html</v>
      </c>
    </row>
    <row r="5735" spans="1:6" x14ac:dyDescent="0.2">
      <c r="A5735" t="s">
        <v>5217</v>
      </c>
      <c r="B5735" s="1">
        <v>944809</v>
      </c>
      <c r="C5735" s="1">
        <v>2834</v>
      </c>
      <c r="D5735" s="2">
        <v>42429</v>
      </c>
      <c r="E5735" s="1" t="s">
        <v>18</v>
      </c>
      <c r="F5735" t="str">
        <f>HYPERLINK("http://www.sec.gov/Archives/edgar/data/944809/0000944809-16-000017-index.html")</f>
        <v>http://www.sec.gov/Archives/edgar/data/944809/0000944809-16-000017-index.html</v>
      </c>
    </row>
    <row r="5736" spans="1:6" x14ac:dyDescent="0.2">
      <c r="A5736" t="s">
        <v>5218</v>
      </c>
      <c r="B5736" s="1">
        <v>946647</v>
      </c>
      <c r="C5736" s="1">
        <v>6035</v>
      </c>
      <c r="D5736" s="2">
        <v>42429</v>
      </c>
      <c r="E5736" s="1" t="s">
        <v>18</v>
      </c>
      <c r="F5736" t="str">
        <f>HYPERLINK("http://www.sec.gov/Archives/edgar/data/946647/0001144204-16-084995-index.html")</f>
        <v>http://www.sec.gov/Archives/edgar/data/946647/0001144204-16-084995-index.html</v>
      </c>
    </row>
    <row r="5737" spans="1:6" x14ac:dyDescent="0.2">
      <c r="A5737" t="s">
        <v>5219</v>
      </c>
      <c r="B5737" s="1">
        <v>946673</v>
      </c>
      <c r="C5737" s="1">
        <v>6022</v>
      </c>
      <c r="D5737" s="2">
        <v>42429</v>
      </c>
      <c r="E5737" s="1" t="s">
        <v>18</v>
      </c>
      <c r="F5737" t="str">
        <f>HYPERLINK("http://www.sec.gov/Archives/edgar/data/946673/0000946673-16-000014-index.html")</f>
        <v>http://www.sec.gov/Archives/edgar/data/946673/0000946673-16-000014-index.html</v>
      </c>
    </row>
    <row r="5738" spans="1:6" x14ac:dyDescent="0.2">
      <c r="A5738" t="s">
        <v>5220</v>
      </c>
      <c r="B5738" s="1">
        <v>97134</v>
      </c>
      <c r="C5738" s="1">
        <v>3580</v>
      </c>
      <c r="D5738" s="2">
        <v>42429</v>
      </c>
      <c r="E5738" s="1" t="s">
        <v>18</v>
      </c>
      <c r="F5738" t="str">
        <f>HYPERLINK("http://www.sec.gov/Archives/edgar/data/97134/0000097134-16-000055-index.html")</f>
        <v>http://www.sec.gov/Archives/edgar/data/97134/0000097134-16-000055-index.html</v>
      </c>
    </row>
    <row r="5739" spans="1:6" x14ac:dyDescent="0.2">
      <c r="A5739" t="s">
        <v>5221</v>
      </c>
      <c r="B5739" s="1">
        <v>97210</v>
      </c>
      <c r="C5739" s="1">
        <v>3825</v>
      </c>
      <c r="D5739" s="2">
        <v>42429</v>
      </c>
      <c r="E5739" s="1" t="s">
        <v>18</v>
      </c>
      <c r="F5739" t="str">
        <f>HYPERLINK("http://www.sec.gov/Archives/edgar/data/97210/0001193125-16-484381-index.html")</f>
        <v>http://www.sec.gov/Archives/edgar/data/97210/0001193125-16-484381-index.html</v>
      </c>
    </row>
    <row r="5740" spans="1:6" x14ac:dyDescent="0.2">
      <c r="A5740" t="s">
        <v>5222</v>
      </c>
      <c r="B5740" s="1">
        <v>97517</v>
      </c>
      <c r="C5740" s="1">
        <v>6792</v>
      </c>
      <c r="D5740" s="2">
        <v>42429</v>
      </c>
      <c r="E5740" s="1" t="s">
        <v>18</v>
      </c>
      <c r="F5740" t="str">
        <f>HYPERLINK("http://www.sec.gov/Archives/edgar/data/97517/0001437749-16-026297-index.html")</f>
        <v>http://www.sec.gov/Archives/edgar/data/97517/0001437749-16-026297-index.html</v>
      </c>
    </row>
    <row r="5741" spans="1:6" x14ac:dyDescent="0.2">
      <c r="A5741" t="s">
        <v>4744</v>
      </c>
      <c r="B5741" s="1">
        <v>1372020</v>
      </c>
      <c r="C5741" s="1">
        <v>1600</v>
      </c>
      <c r="D5741" s="2">
        <v>42429</v>
      </c>
      <c r="E5741" s="1" t="s">
        <v>18</v>
      </c>
      <c r="F5741" t="str">
        <f>HYPERLINK("http://www.sec.gov/Archives/edgar/data/1372020/0001564590-16-013760-index.html")</f>
        <v>http://www.sec.gov/Archives/edgar/data/1372020/0001564590-16-013760-index.html</v>
      </c>
    </row>
    <row r="5742" spans="1:6" x14ac:dyDescent="0.2">
      <c r="A5742" t="s">
        <v>4756</v>
      </c>
      <c r="B5742" s="1">
        <v>1526113</v>
      </c>
      <c r="C5742" s="1">
        <v>6798</v>
      </c>
      <c r="D5742" s="2">
        <v>42429</v>
      </c>
      <c r="E5742" s="1" t="s">
        <v>18</v>
      </c>
      <c r="F5742" t="str">
        <f>HYPERLINK("http://www.sec.gov/Archives/edgar/data/1526113/0001526113-16-000014-index.html")</f>
        <v>http://www.sec.gov/Archives/edgar/data/1526113/0001526113-16-000014-index.html</v>
      </c>
    </row>
    <row r="5743" spans="1:6" x14ac:dyDescent="0.2">
      <c r="A5743" t="s">
        <v>4790</v>
      </c>
      <c r="B5743" s="1">
        <v>906709</v>
      </c>
      <c r="C5743" s="1">
        <v>2834</v>
      </c>
      <c r="D5743" s="2">
        <v>42429</v>
      </c>
      <c r="E5743" s="1" t="s">
        <v>18</v>
      </c>
      <c r="F5743" t="str">
        <f>HYPERLINK("http://www.sec.gov/Archives/edgar/data/906709/0001564590-16-013759-index.html")</f>
        <v>http://www.sec.gov/Archives/edgar/data/906709/0001564590-16-013759-index.html</v>
      </c>
    </row>
    <row r="5744" spans="1:6" x14ac:dyDescent="0.2">
      <c r="A5744" t="s">
        <v>5223</v>
      </c>
      <c r="B5744" s="1">
        <v>1000623</v>
      </c>
      <c r="C5744" s="1">
        <v>2621</v>
      </c>
      <c r="D5744" s="2">
        <v>42426</v>
      </c>
      <c r="E5744" s="1" t="s">
        <v>18</v>
      </c>
      <c r="F5744" t="str">
        <f>HYPERLINK("http://www.sec.gov/Archives/edgar/data/1000623/0001000623-16-000141-index.html")</f>
        <v>http://www.sec.gov/Archives/edgar/data/1000623/0001000623-16-000141-index.html</v>
      </c>
    </row>
    <row r="5745" spans="1:6" x14ac:dyDescent="0.2">
      <c r="A5745" t="s">
        <v>5224</v>
      </c>
      <c r="B5745" s="1">
        <v>1000697</v>
      </c>
      <c r="C5745" s="1">
        <v>3826</v>
      </c>
      <c r="D5745" s="2">
        <v>42426</v>
      </c>
      <c r="E5745" s="1" t="s">
        <v>18</v>
      </c>
      <c r="F5745" t="str">
        <f>HYPERLINK("http://www.sec.gov/Archives/edgar/data/1000697/0001193125-16-480594-index.html")</f>
        <v>http://www.sec.gov/Archives/edgar/data/1000697/0001193125-16-480594-index.html</v>
      </c>
    </row>
    <row r="5746" spans="1:6" x14ac:dyDescent="0.2">
      <c r="A5746" t="s">
        <v>5225</v>
      </c>
      <c r="B5746" s="1">
        <v>1001838</v>
      </c>
      <c r="C5746" s="1">
        <v>1000</v>
      </c>
      <c r="D5746" s="2">
        <v>42426</v>
      </c>
      <c r="E5746" s="1" t="s">
        <v>18</v>
      </c>
      <c r="F5746" t="str">
        <f>HYPERLINK("http://www.sec.gov/Archives/edgar/data/1001838/0001104659-16-100568-index.html")</f>
        <v>http://www.sec.gov/Archives/edgar/data/1001838/0001104659-16-100568-index.html</v>
      </c>
    </row>
    <row r="5747" spans="1:6" x14ac:dyDescent="0.2">
      <c r="A5747" t="s">
        <v>5226</v>
      </c>
      <c r="B5747" s="1">
        <v>1002910</v>
      </c>
      <c r="C5747" s="1">
        <v>4931</v>
      </c>
      <c r="D5747" s="2">
        <v>42426</v>
      </c>
      <c r="E5747" s="1" t="s">
        <v>18</v>
      </c>
      <c r="F5747" t="str">
        <f>HYPERLINK("http://www.sec.gov/Archives/edgar/data/1002910/0001002910-16-000205-index.html")</f>
        <v>http://www.sec.gov/Archives/edgar/data/1002910/0001002910-16-000205-index.html</v>
      </c>
    </row>
    <row r="5748" spans="1:6" x14ac:dyDescent="0.2">
      <c r="A5748" t="s">
        <v>5227</v>
      </c>
      <c r="B5748" s="1">
        <v>1005201</v>
      </c>
      <c r="C5748" s="1">
        <v>2834</v>
      </c>
      <c r="D5748" s="2">
        <v>42426</v>
      </c>
      <c r="E5748" s="1" t="s">
        <v>18</v>
      </c>
      <c r="F5748" t="str">
        <f>HYPERLINK("http://www.sec.gov/Archives/edgar/data/1005201/0001047469-16-010509-index.html")</f>
        <v>http://www.sec.gov/Archives/edgar/data/1005201/0001047469-16-010509-index.html</v>
      </c>
    </row>
    <row r="5749" spans="1:6" x14ac:dyDescent="0.2">
      <c r="A5749" t="s">
        <v>5228</v>
      </c>
      <c r="B5749" s="1">
        <v>100826</v>
      </c>
      <c r="C5749" s="1">
        <v>4911</v>
      </c>
      <c r="D5749" s="2">
        <v>42426</v>
      </c>
      <c r="E5749" s="1" t="s">
        <v>18</v>
      </c>
      <c r="F5749" t="str">
        <f>HYPERLINK("http://www.sec.gov/Archives/edgar/data/100826/0001002910-16-000205-index.html")</f>
        <v>http://www.sec.gov/Archives/edgar/data/100826/0001002910-16-000205-index.html</v>
      </c>
    </row>
    <row r="5750" spans="1:6" x14ac:dyDescent="0.2">
      <c r="A5750" t="s">
        <v>5229</v>
      </c>
      <c r="B5750" s="1">
        <v>1011835</v>
      </c>
      <c r="C5750" s="1">
        <v>2834</v>
      </c>
      <c r="D5750" s="2">
        <v>42426</v>
      </c>
      <c r="E5750" s="1" t="s">
        <v>18</v>
      </c>
      <c r="F5750" t="str">
        <f>HYPERLINK("http://www.sec.gov/Archives/edgar/data/1011835/0001564590-16-013460-index.html")</f>
        <v>http://www.sec.gov/Archives/edgar/data/1011835/0001564590-16-013460-index.html</v>
      </c>
    </row>
    <row r="5751" spans="1:6" x14ac:dyDescent="0.2">
      <c r="A5751" t="s">
        <v>5230</v>
      </c>
      <c r="B5751" s="1">
        <v>101199</v>
      </c>
      <c r="C5751" s="1">
        <v>6331</v>
      </c>
      <c r="D5751" s="2">
        <v>42426</v>
      </c>
      <c r="E5751" s="1" t="s">
        <v>18</v>
      </c>
      <c r="F5751" t="str">
        <f>HYPERLINK("http://www.sec.gov/Archives/edgar/data/101199/0000101199-16-000480-index.html")</f>
        <v>http://www.sec.gov/Archives/edgar/data/101199/0000101199-16-000480-index.html</v>
      </c>
    </row>
    <row r="5752" spans="1:6" x14ac:dyDescent="0.2">
      <c r="A5752" t="s">
        <v>5231</v>
      </c>
      <c r="B5752" s="1">
        <v>1012271</v>
      </c>
      <c r="C5752" s="1">
        <v>6513</v>
      </c>
      <c r="D5752" s="2">
        <v>42426</v>
      </c>
      <c r="E5752" s="1" t="s">
        <v>18</v>
      </c>
      <c r="F5752" t="str">
        <f>HYPERLINK("http://www.sec.gov/Archives/edgar/data/1012271/0001564590-16-013528-index.html")</f>
        <v>http://www.sec.gov/Archives/edgar/data/1012271/0001564590-16-013528-index.html</v>
      </c>
    </row>
    <row r="5753" spans="1:6" x14ac:dyDescent="0.2">
      <c r="A5753" t="s">
        <v>5232</v>
      </c>
      <c r="B5753" s="1">
        <v>1016125</v>
      </c>
      <c r="C5753" s="1">
        <v>7372</v>
      </c>
      <c r="D5753" s="2">
        <v>42426</v>
      </c>
      <c r="E5753" s="1" t="s">
        <v>18</v>
      </c>
      <c r="F5753" t="str">
        <f>HYPERLINK("http://www.sec.gov/Archives/edgar/data/1016125/0001016125-16-000168-index.html")</f>
        <v>http://www.sec.gov/Archives/edgar/data/1016125/0001016125-16-000168-index.html</v>
      </c>
    </row>
    <row r="5754" spans="1:6" x14ac:dyDescent="0.2">
      <c r="A5754" t="s">
        <v>5233</v>
      </c>
      <c r="B5754" s="1">
        <v>1018003</v>
      </c>
      <c r="C5754" s="1">
        <v>5045</v>
      </c>
      <c r="D5754" s="2">
        <v>42426</v>
      </c>
      <c r="E5754" s="1" t="s">
        <v>18</v>
      </c>
      <c r="F5754" t="str">
        <f>HYPERLINK("http://www.sec.gov/Archives/edgar/data/1018003/0001018003-16-000071-index.html")</f>
        <v>http://www.sec.gov/Archives/edgar/data/1018003/0001018003-16-000071-index.html</v>
      </c>
    </row>
    <row r="5755" spans="1:6" x14ac:dyDescent="0.2">
      <c r="A5755" t="s">
        <v>5234</v>
      </c>
      <c r="B5755" s="1">
        <v>1018963</v>
      </c>
      <c r="C5755" s="1">
        <v>3317</v>
      </c>
      <c r="D5755" s="2">
        <v>42426</v>
      </c>
      <c r="E5755" s="1" t="s">
        <v>18</v>
      </c>
      <c r="F5755" t="str">
        <f>HYPERLINK("http://www.sec.gov/Archives/edgar/data/1018963/0001018963-16-000049-index.html")</f>
        <v>http://www.sec.gov/Archives/edgar/data/1018963/0001018963-16-000049-index.html</v>
      </c>
    </row>
    <row r="5756" spans="1:6" x14ac:dyDescent="0.2">
      <c r="A5756" t="s">
        <v>5235</v>
      </c>
      <c r="B5756" s="1">
        <v>1018979</v>
      </c>
      <c r="C5756" s="1">
        <v>6331</v>
      </c>
      <c r="D5756" s="2">
        <v>42426</v>
      </c>
      <c r="E5756" s="1" t="s">
        <v>18</v>
      </c>
      <c r="F5756" t="str">
        <f>HYPERLINK("http://www.sec.gov/Archives/edgar/data/1018979/0001193125-16-481952-index.html")</f>
        <v>http://www.sec.gov/Archives/edgar/data/1018979/0001193125-16-481952-index.html</v>
      </c>
    </row>
    <row r="5757" spans="1:6" x14ac:dyDescent="0.2">
      <c r="A5757" t="s">
        <v>5236</v>
      </c>
      <c r="B5757" s="1">
        <v>1020569</v>
      </c>
      <c r="C5757" s="1">
        <v>6798</v>
      </c>
      <c r="D5757" s="2">
        <v>42426</v>
      </c>
      <c r="E5757" s="1" t="s">
        <v>18</v>
      </c>
      <c r="F5757" t="str">
        <f>HYPERLINK("http://www.sec.gov/Archives/edgar/data/1020569/0001020569-16-000013-index.html")</f>
        <v>http://www.sec.gov/Archives/edgar/data/1020569/0001020569-16-000013-index.html</v>
      </c>
    </row>
    <row r="5758" spans="1:6" x14ac:dyDescent="0.2">
      <c r="A5758" t="s">
        <v>5237</v>
      </c>
      <c r="B5758" s="1">
        <v>1021635</v>
      </c>
      <c r="C5758" s="1">
        <v>4911</v>
      </c>
      <c r="D5758" s="2">
        <v>42426</v>
      </c>
      <c r="E5758" s="1" t="s">
        <v>18</v>
      </c>
      <c r="F5758" t="str">
        <f>HYPERLINK("http://www.sec.gov/Archives/edgar/data/1021635/0001021635-16-000172-index.html")</f>
        <v>http://www.sec.gov/Archives/edgar/data/1021635/0001021635-16-000172-index.html</v>
      </c>
    </row>
    <row r="5759" spans="1:6" x14ac:dyDescent="0.2">
      <c r="A5759" t="s">
        <v>5238</v>
      </c>
      <c r="B5759" s="1">
        <v>1022079</v>
      </c>
      <c r="C5759" s="1">
        <v>8071</v>
      </c>
      <c r="D5759" s="2">
        <v>42426</v>
      </c>
      <c r="E5759" s="1" t="s">
        <v>18</v>
      </c>
      <c r="F5759" t="str">
        <f>HYPERLINK("http://www.sec.gov/Archives/edgar/data/1022079/0001022079-16-000195-index.html")</f>
        <v>http://www.sec.gov/Archives/edgar/data/1022079/0001022079-16-000195-index.html</v>
      </c>
    </row>
    <row r="5760" spans="1:6" x14ac:dyDescent="0.2">
      <c r="A5760" t="s">
        <v>5239</v>
      </c>
      <c r="B5760" s="1">
        <v>1022321</v>
      </c>
      <c r="C5760" s="1">
        <v>5171</v>
      </c>
      <c r="D5760" s="2">
        <v>42426</v>
      </c>
      <c r="E5760" s="1" t="s">
        <v>18</v>
      </c>
      <c r="F5760" t="str">
        <f>HYPERLINK("http://www.sec.gov/Archives/edgar/data/1022321/0001022321-16-000145-index.html")</f>
        <v>http://www.sec.gov/Archives/edgar/data/1022321/0001022321-16-000145-index.html</v>
      </c>
    </row>
    <row r="5761" spans="1:6" x14ac:dyDescent="0.2">
      <c r="A5761" t="s">
        <v>5240</v>
      </c>
      <c r="B5761" s="1">
        <v>1022344</v>
      </c>
      <c r="C5761" s="1">
        <v>6798</v>
      </c>
      <c r="D5761" s="2">
        <v>42426</v>
      </c>
      <c r="E5761" s="1" t="s">
        <v>18</v>
      </c>
      <c r="F5761" t="str">
        <f>HYPERLINK("http://www.sec.gov/Archives/edgar/data/1022344/0001047469-16-010468-index.html")</f>
        <v>http://www.sec.gov/Archives/edgar/data/1022344/0001047469-16-010468-index.html</v>
      </c>
    </row>
    <row r="5762" spans="1:6" x14ac:dyDescent="0.2">
      <c r="A5762" t="s">
        <v>5241</v>
      </c>
      <c r="B5762" s="1">
        <v>1022671</v>
      </c>
      <c r="C5762" s="1">
        <v>3312</v>
      </c>
      <c r="D5762" s="2">
        <v>42426</v>
      </c>
      <c r="E5762" s="1" t="s">
        <v>18</v>
      </c>
      <c r="F5762" t="str">
        <f>HYPERLINK("http://www.sec.gov/Archives/edgar/data/1022671/0001047469-16-010496-index.html")</f>
        <v>http://www.sec.gov/Archives/edgar/data/1022671/0001047469-16-010496-index.html</v>
      </c>
    </row>
    <row r="5763" spans="1:6" x14ac:dyDescent="0.2">
      <c r="A5763" t="s">
        <v>5242</v>
      </c>
      <c r="B5763" s="1">
        <v>1023128</v>
      </c>
      <c r="C5763" s="1">
        <v>5500</v>
      </c>
      <c r="D5763" s="2">
        <v>42426</v>
      </c>
      <c r="E5763" s="1" t="s">
        <v>18</v>
      </c>
      <c r="F5763" t="str">
        <f>HYPERLINK("http://www.sec.gov/Archives/edgar/data/1023128/0001437749-16-026190-index.html")</f>
        <v>http://www.sec.gov/Archives/edgar/data/1023128/0001437749-16-026190-index.html</v>
      </c>
    </row>
    <row r="5764" spans="1:6" x14ac:dyDescent="0.2">
      <c r="A5764" t="s">
        <v>5243</v>
      </c>
      <c r="B5764" s="1">
        <v>1025378</v>
      </c>
      <c r="C5764" s="1">
        <v>6798</v>
      </c>
      <c r="D5764" s="2">
        <v>42426</v>
      </c>
      <c r="E5764" s="1" t="s">
        <v>18</v>
      </c>
      <c r="F5764" t="str">
        <f>HYPERLINK("http://www.sec.gov/Archives/edgar/data/1025378/0001025378-16-000062-index.html")</f>
        <v>http://www.sec.gov/Archives/edgar/data/1025378/0001025378-16-000062-index.html</v>
      </c>
    </row>
    <row r="5765" spans="1:6" x14ac:dyDescent="0.2">
      <c r="A5765" t="s">
        <v>5244</v>
      </c>
      <c r="B5765" s="1">
        <v>1025835</v>
      </c>
      <c r="C5765" s="1">
        <v>6022</v>
      </c>
      <c r="D5765" s="2">
        <v>42426</v>
      </c>
      <c r="E5765" s="1" t="s">
        <v>18</v>
      </c>
      <c r="F5765" t="str">
        <f>HYPERLINK("http://www.sec.gov/Archives/edgar/data/1025835/0001025835-16-000102-index.html")</f>
        <v>http://www.sec.gov/Archives/edgar/data/1025835/0001025835-16-000102-index.html</v>
      </c>
    </row>
    <row r="5766" spans="1:6" x14ac:dyDescent="0.2">
      <c r="A5766" t="s">
        <v>5245</v>
      </c>
      <c r="B5766" s="1">
        <v>1027884</v>
      </c>
      <c r="C5766" s="1">
        <v>1700</v>
      </c>
      <c r="D5766" s="2">
        <v>42426</v>
      </c>
      <c r="E5766" s="1" t="s">
        <v>18</v>
      </c>
      <c r="F5766" t="str">
        <f>HYPERLINK("http://www.sec.gov/Archives/edgar/data/1027884/0001027884-16-000357-index.html")</f>
        <v>http://www.sec.gov/Archives/edgar/data/1027884/0001027884-16-000357-index.html</v>
      </c>
    </row>
    <row r="5767" spans="1:6" x14ac:dyDescent="0.2">
      <c r="A5767" t="s">
        <v>5246</v>
      </c>
      <c r="B5767" s="1">
        <v>1032033</v>
      </c>
      <c r="C5767" s="1">
        <v>6141</v>
      </c>
      <c r="D5767" s="2">
        <v>42426</v>
      </c>
      <c r="E5767" s="1" t="s">
        <v>18</v>
      </c>
      <c r="F5767" t="str">
        <f>HYPERLINK("http://www.sec.gov/Archives/edgar/data/1032033/0001628280-16-011844-index.html")</f>
        <v>http://www.sec.gov/Archives/edgar/data/1032033/0001628280-16-011844-index.html</v>
      </c>
    </row>
    <row r="5768" spans="1:6" x14ac:dyDescent="0.2">
      <c r="A5768" t="s">
        <v>5247</v>
      </c>
      <c r="B5768" s="1">
        <v>1032208</v>
      </c>
      <c r="C5768" s="1">
        <v>4932</v>
      </c>
      <c r="D5768" s="2">
        <v>42426</v>
      </c>
      <c r="E5768" s="1" t="s">
        <v>18</v>
      </c>
      <c r="F5768" t="str">
        <f>HYPERLINK("http://www.sec.gov/Archives/edgar/data/1032208/0000086521-16-000091-index.html")</f>
        <v>http://www.sec.gov/Archives/edgar/data/1032208/0000086521-16-000091-index.html</v>
      </c>
    </row>
    <row r="5769" spans="1:6" x14ac:dyDescent="0.2">
      <c r="A5769" t="s">
        <v>5248</v>
      </c>
      <c r="B5769" s="1">
        <v>1034054</v>
      </c>
      <c r="C5769" s="1">
        <v>4899</v>
      </c>
      <c r="D5769" s="2">
        <v>42426</v>
      </c>
      <c r="E5769" s="1" t="s">
        <v>18</v>
      </c>
      <c r="F5769" t="str">
        <f>HYPERLINK("http://www.sec.gov/Archives/edgar/data/1034054/0001034054-16-000018-index.html")</f>
        <v>http://www.sec.gov/Archives/edgar/data/1034054/0001034054-16-000018-index.html</v>
      </c>
    </row>
    <row r="5770" spans="1:6" x14ac:dyDescent="0.2">
      <c r="A5770" t="s">
        <v>5249</v>
      </c>
      <c r="B5770" s="1">
        <v>1035688</v>
      </c>
      <c r="C5770" s="1">
        <v>8093</v>
      </c>
      <c r="D5770" s="2">
        <v>42426</v>
      </c>
      <c r="E5770" s="1" t="s">
        <v>18</v>
      </c>
      <c r="F5770" t="str">
        <f>HYPERLINK("http://www.sec.gov/Archives/edgar/data/1035688/0001047469-16-010467-index.html")</f>
        <v>http://www.sec.gov/Archives/edgar/data/1035688/0001047469-16-010467-index.html</v>
      </c>
    </row>
    <row r="5771" spans="1:6" x14ac:dyDescent="0.2">
      <c r="A5771" t="s">
        <v>5250</v>
      </c>
      <c r="B5771" s="1">
        <v>103682</v>
      </c>
      <c r="C5771" s="1">
        <v>4911</v>
      </c>
      <c r="D5771" s="2">
        <v>42426</v>
      </c>
      <c r="E5771" s="1" t="s">
        <v>18</v>
      </c>
      <c r="F5771" t="str">
        <f>HYPERLINK("http://www.sec.gov/Archives/edgar/data/103682/0001193125-16-480850-index.html")</f>
        <v>http://www.sec.gov/Archives/edgar/data/103682/0001193125-16-480850-index.html</v>
      </c>
    </row>
    <row r="5772" spans="1:6" x14ac:dyDescent="0.2">
      <c r="A5772" t="s">
        <v>5251</v>
      </c>
      <c r="B5772" s="1">
        <v>1039101</v>
      </c>
      <c r="C5772" s="1">
        <v>3663</v>
      </c>
      <c r="D5772" s="2">
        <v>42426</v>
      </c>
      <c r="E5772" s="1" t="s">
        <v>18</v>
      </c>
      <c r="F5772" t="str">
        <f>HYPERLINK("http://www.sec.gov/Archives/edgar/data/1039101/0001193125-16-480793-index.html")</f>
        <v>http://www.sec.gov/Archives/edgar/data/1039101/0001193125-16-480793-index.html</v>
      </c>
    </row>
    <row r="5773" spans="1:6" x14ac:dyDescent="0.2">
      <c r="A5773" t="s">
        <v>5252</v>
      </c>
      <c r="B5773" s="1">
        <v>1039828</v>
      </c>
      <c r="C5773" s="1">
        <v>6311</v>
      </c>
      <c r="D5773" s="2">
        <v>42426</v>
      </c>
      <c r="E5773" s="1" t="s">
        <v>18</v>
      </c>
      <c r="F5773" t="str">
        <f>HYPERLINK("http://www.sec.gov/Archives/edgar/data/1039828/0001039828-16-000136-index.html")</f>
        <v>http://www.sec.gov/Archives/edgar/data/1039828/0001039828-16-000136-index.html</v>
      </c>
    </row>
    <row r="5774" spans="1:6" x14ac:dyDescent="0.2">
      <c r="A5774" t="s">
        <v>5253</v>
      </c>
      <c r="B5774" s="1">
        <v>1040426</v>
      </c>
      <c r="C5774" s="1">
        <v>7371</v>
      </c>
      <c r="D5774" s="2">
        <v>42426</v>
      </c>
      <c r="E5774" s="1" t="s">
        <v>18</v>
      </c>
      <c r="F5774" t="str">
        <f>HYPERLINK("http://www.sec.gov/Archives/edgar/data/1040426/0001193125-16-482419-index.html")</f>
        <v>http://www.sec.gov/Archives/edgar/data/1040426/0001193125-16-482419-index.html</v>
      </c>
    </row>
    <row r="5775" spans="1:6" x14ac:dyDescent="0.2">
      <c r="A5775" t="s">
        <v>5254</v>
      </c>
      <c r="B5775" s="1">
        <v>1040829</v>
      </c>
      <c r="C5775" s="1">
        <v>6798</v>
      </c>
      <c r="D5775" s="2">
        <v>42426</v>
      </c>
      <c r="E5775" s="1" t="s">
        <v>18</v>
      </c>
      <c r="F5775" t="str">
        <f>HYPERLINK("http://www.sec.gov/Archives/edgar/data/1040829/0001193125-16-480931-index.html")</f>
        <v>http://www.sec.gov/Archives/edgar/data/1040829/0001193125-16-480931-index.html</v>
      </c>
    </row>
    <row r="5776" spans="1:6" x14ac:dyDescent="0.2">
      <c r="A5776" t="s">
        <v>5255</v>
      </c>
      <c r="B5776" s="1">
        <v>1042046</v>
      </c>
      <c r="C5776" s="1">
        <v>6331</v>
      </c>
      <c r="D5776" s="2">
        <v>42426</v>
      </c>
      <c r="E5776" s="1" t="s">
        <v>18</v>
      </c>
      <c r="F5776" t="str">
        <f>HYPERLINK("http://www.sec.gov/Archives/edgar/data/1042046/0001042046-16-000074-index.html")</f>
        <v>http://www.sec.gov/Archives/edgar/data/1042046/0001042046-16-000074-index.html</v>
      </c>
    </row>
    <row r="5777" spans="1:6" x14ac:dyDescent="0.2">
      <c r="A5777" t="s">
        <v>5256</v>
      </c>
      <c r="B5777" s="1">
        <v>1042773</v>
      </c>
      <c r="C5777" s="1">
        <v>4911</v>
      </c>
      <c r="D5777" s="2">
        <v>42426</v>
      </c>
      <c r="E5777" s="1" t="s">
        <v>18</v>
      </c>
      <c r="F5777" t="str">
        <f>HYPERLINK("http://www.sec.gov/Archives/edgar/data/1042773/0001042773-16-000023-index.html")</f>
        <v>http://www.sec.gov/Archives/edgar/data/1042773/0001042773-16-000023-index.html</v>
      </c>
    </row>
    <row r="5778" spans="1:6" x14ac:dyDescent="0.2">
      <c r="A5778" t="s">
        <v>5257</v>
      </c>
      <c r="B5778" s="1">
        <v>1042810</v>
      </c>
      <c r="C5778" s="1">
        <v>6798</v>
      </c>
      <c r="D5778" s="2">
        <v>42426</v>
      </c>
      <c r="E5778" s="1" t="s">
        <v>18</v>
      </c>
      <c r="F5778" t="str">
        <f>HYPERLINK("http://www.sec.gov/Archives/edgar/data/1042810/0001042810-16-000148-index.html")</f>
        <v>http://www.sec.gov/Archives/edgar/data/1042810/0001042810-16-000148-index.html</v>
      </c>
    </row>
    <row r="5779" spans="1:6" x14ac:dyDescent="0.2">
      <c r="A5779" t="s">
        <v>5258</v>
      </c>
      <c r="B5779" s="1">
        <v>1043000</v>
      </c>
      <c r="C5779" s="1">
        <v>8050</v>
      </c>
      <c r="D5779" s="2">
        <v>42426</v>
      </c>
      <c r="E5779" s="1" t="s">
        <v>18</v>
      </c>
      <c r="F5779" t="str">
        <f>HYPERLINK("http://www.sec.gov/Archives/edgar/data/1043000/0001193125-16-482142-index.html")</f>
        <v>http://www.sec.gov/Archives/edgar/data/1043000/0001193125-16-482142-index.html</v>
      </c>
    </row>
    <row r="5780" spans="1:6" x14ac:dyDescent="0.2">
      <c r="A5780" t="s">
        <v>5259</v>
      </c>
      <c r="B5780" s="1">
        <v>1043219</v>
      </c>
      <c r="C5780" s="1">
        <v>6798</v>
      </c>
      <c r="D5780" s="2">
        <v>42426</v>
      </c>
      <c r="E5780" s="1" t="s">
        <v>18</v>
      </c>
      <c r="F5780" t="str">
        <f>HYPERLINK("http://www.sec.gov/Archives/edgar/data/1043219/0001157523-16-004749-index.html")</f>
        <v>http://www.sec.gov/Archives/edgar/data/1043219/0001157523-16-004749-index.html</v>
      </c>
    </row>
    <row r="5781" spans="1:6" x14ac:dyDescent="0.2">
      <c r="A5781" t="s">
        <v>5260</v>
      </c>
      <c r="B5781" s="1">
        <v>1043509</v>
      </c>
      <c r="C5781" s="1">
        <v>5500</v>
      </c>
      <c r="D5781" s="2">
        <v>42426</v>
      </c>
      <c r="E5781" s="1" t="s">
        <v>18</v>
      </c>
      <c r="F5781" t="str">
        <f>HYPERLINK("http://www.sec.gov/Archives/edgar/data/1043509/0001564590-16-013579-index.html")</f>
        <v>http://www.sec.gov/Archives/edgar/data/1043509/0001564590-16-013579-index.html</v>
      </c>
    </row>
    <row r="5782" spans="1:6" x14ac:dyDescent="0.2">
      <c r="A5782" t="s">
        <v>5261</v>
      </c>
      <c r="B5782" s="1">
        <v>10456</v>
      </c>
      <c r="C5782" s="1">
        <v>3841</v>
      </c>
      <c r="D5782" s="2">
        <v>42426</v>
      </c>
      <c r="E5782" s="1" t="s">
        <v>18</v>
      </c>
      <c r="F5782" t="str">
        <f>HYPERLINK("http://www.sec.gov/Archives/edgar/data/10456/0001193125-16-479471-index.html")</f>
        <v>http://www.sec.gov/Archives/edgar/data/10456/0001193125-16-479471-index.html</v>
      </c>
    </row>
    <row r="5783" spans="1:6" x14ac:dyDescent="0.2">
      <c r="A5783" t="s">
        <v>5262</v>
      </c>
      <c r="B5783" s="1">
        <v>1047884</v>
      </c>
      <c r="C5783" s="1">
        <v>6798</v>
      </c>
      <c r="D5783" s="2">
        <v>42426</v>
      </c>
      <c r="E5783" s="1" t="s">
        <v>18</v>
      </c>
      <c r="F5783" t="str">
        <f>HYPERLINK("http://www.sec.gov/Archives/edgar/data/1047884/0001564590-16-013531-index.html")</f>
        <v>http://www.sec.gov/Archives/edgar/data/1047884/0001564590-16-013531-index.html</v>
      </c>
    </row>
    <row r="5784" spans="1:6" x14ac:dyDescent="0.2">
      <c r="A5784" t="s">
        <v>5263</v>
      </c>
      <c r="B5784" s="1">
        <v>1048789</v>
      </c>
      <c r="C5784" s="1">
        <v>6798</v>
      </c>
      <c r="D5784" s="2">
        <v>42426</v>
      </c>
      <c r="E5784" s="1" t="s">
        <v>18</v>
      </c>
      <c r="F5784" t="str">
        <f>HYPERLINK("http://www.sec.gov/Archives/edgar/data/1048789/0000923603-16-000069-index.html")</f>
        <v>http://www.sec.gov/Archives/edgar/data/1048789/0000923603-16-000069-index.html</v>
      </c>
    </row>
    <row r="5785" spans="1:6" x14ac:dyDescent="0.2">
      <c r="A5785" t="s">
        <v>5264</v>
      </c>
      <c r="B5785" s="1">
        <v>104889</v>
      </c>
      <c r="C5785" s="1">
        <v>8200</v>
      </c>
      <c r="D5785" s="2">
        <v>42426</v>
      </c>
      <c r="E5785" s="1" t="s">
        <v>18</v>
      </c>
      <c r="F5785" t="str">
        <f>HYPERLINK("http://www.sec.gov/Archives/edgar/data/104889/0000104889-16-000088-index.html")</f>
        <v>http://www.sec.gov/Archives/edgar/data/104889/0000104889-16-000088-index.html</v>
      </c>
    </row>
    <row r="5786" spans="1:6" x14ac:dyDescent="0.2">
      <c r="A5786" t="s">
        <v>5265</v>
      </c>
      <c r="B5786" s="1">
        <v>104894</v>
      </c>
      <c r="C5786" s="1">
        <v>6798</v>
      </c>
      <c r="D5786" s="2">
        <v>42426</v>
      </c>
      <c r="E5786" s="1" t="s">
        <v>18</v>
      </c>
      <c r="F5786" t="str">
        <f>HYPERLINK("http://www.sec.gov/Archives/edgar/data/104894/0000104894-16-000140-index.html")</f>
        <v>http://www.sec.gov/Archives/edgar/data/104894/0000104894-16-000140-index.html</v>
      </c>
    </row>
    <row r="5787" spans="1:6" x14ac:dyDescent="0.2">
      <c r="A5787" t="s">
        <v>5266</v>
      </c>
      <c r="B5787" s="1">
        <v>1049502</v>
      </c>
      <c r="C5787" s="1">
        <v>3823</v>
      </c>
      <c r="D5787" s="2">
        <v>42426</v>
      </c>
      <c r="E5787" s="1" t="s">
        <v>18</v>
      </c>
      <c r="F5787" t="str">
        <f>HYPERLINK("http://www.sec.gov/Archives/edgar/data/1049502/0001193125-16-481436-index.html")</f>
        <v>http://www.sec.gov/Archives/edgar/data/1049502/0001193125-16-481436-index.html</v>
      </c>
    </row>
    <row r="5788" spans="1:6" x14ac:dyDescent="0.2">
      <c r="A5788" t="s">
        <v>5267</v>
      </c>
      <c r="B5788" s="1">
        <v>1050446</v>
      </c>
      <c r="C5788" s="1">
        <v>7372</v>
      </c>
      <c r="D5788" s="2">
        <v>42426</v>
      </c>
      <c r="E5788" s="1" t="s">
        <v>18</v>
      </c>
      <c r="F5788" t="str">
        <f>HYPERLINK("http://www.sec.gov/Archives/edgar/data/1050446/0001193125-16-479811-index.html")</f>
        <v>http://www.sec.gov/Archives/edgar/data/1050446/0001193125-16-479811-index.html</v>
      </c>
    </row>
    <row r="5789" spans="1:6" x14ac:dyDescent="0.2">
      <c r="A5789" t="s">
        <v>5268</v>
      </c>
      <c r="B5789" s="1">
        <v>1052100</v>
      </c>
      <c r="C5789" s="1">
        <v>6211</v>
      </c>
      <c r="D5789" s="2">
        <v>42426</v>
      </c>
      <c r="E5789" s="1" t="s">
        <v>18</v>
      </c>
      <c r="F5789" t="str">
        <f>HYPERLINK("http://www.sec.gov/Archives/edgar/data/1052100/0001047469-16-010513-index.html")</f>
        <v>http://www.sec.gov/Archives/edgar/data/1052100/0001047469-16-010513-index.html</v>
      </c>
    </row>
    <row r="5790" spans="1:6" x14ac:dyDescent="0.2">
      <c r="A5790" t="s">
        <v>5269</v>
      </c>
      <c r="B5790" s="1">
        <v>1053059</v>
      </c>
      <c r="C5790" s="1">
        <v>6798</v>
      </c>
      <c r="D5790" s="2">
        <v>42426</v>
      </c>
      <c r="E5790" s="1" t="s">
        <v>18</v>
      </c>
      <c r="F5790" t="str">
        <f>HYPERLINK("http://www.sec.gov/Archives/edgar/data/1053059/0000920522-16-000097-index.html")</f>
        <v>http://www.sec.gov/Archives/edgar/data/1053059/0000920522-16-000097-index.html</v>
      </c>
    </row>
    <row r="5791" spans="1:6" x14ac:dyDescent="0.2">
      <c r="A5791" t="s">
        <v>5270</v>
      </c>
      <c r="B5791" s="1">
        <v>1053507</v>
      </c>
      <c r="C5791" s="1">
        <v>6798</v>
      </c>
      <c r="D5791" s="2">
        <v>42426</v>
      </c>
      <c r="E5791" s="1" t="s">
        <v>18</v>
      </c>
      <c r="F5791" t="str">
        <f>HYPERLINK("http://www.sec.gov/Archives/edgar/data/1053507/0001053507-16-000018-index.html")</f>
        <v>http://www.sec.gov/Archives/edgar/data/1053507/0001053507-16-000018-index.html</v>
      </c>
    </row>
    <row r="5792" spans="1:6" x14ac:dyDescent="0.2">
      <c r="A5792" t="s">
        <v>5271</v>
      </c>
      <c r="B5792" s="1">
        <v>1056239</v>
      </c>
      <c r="C5792" s="1">
        <v>3663</v>
      </c>
      <c r="D5792" s="2">
        <v>42426</v>
      </c>
      <c r="E5792" s="1" t="s">
        <v>18</v>
      </c>
      <c r="F5792" t="str">
        <f>HYPERLINK("http://www.sec.gov/Archives/edgar/data/1056239/0001193125-16-480793-index.html")</f>
        <v>http://www.sec.gov/Archives/edgar/data/1056239/0001193125-16-480793-index.html</v>
      </c>
    </row>
    <row r="5793" spans="1:6" x14ac:dyDescent="0.2">
      <c r="A5793" t="s">
        <v>5272</v>
      </c>
      <c r="B5793" s="1">
        <v>1057352</v>
      </c>
      <c r="C5793" s="1">
        <v>7389</v>
      </c>
      <c r="D5793" s="2">
        <v>42426</v>
      </c>
      <c r="E5793" s="1" t="s">
        <v>18</v>
      </c>
      <c r="F5793" t="str">
        <f>HYPERLINK("http://www.sec.gov/Archives/edgar/data/1057352/0001057352-16-000103-index.html")</f>
        <v>http://www.sec.gov/Archives/edgar/data/1057352/0001057352-16-000103-index.html</v>
      </c>
    </row>
    <row r="5794" spans="1:6" x14ac:dyDescent="0.2">
      <c r="A5794" t="s">
        <v>5273</v>
      </c>
      <c r="B5794" s="1">
        <v>105770</v>
      </c>
      <c r="C5794" s="1">
        <v>3060</v>
      </c>
      <c r="D5794" s="2">
        <v>42426</v>
      </c>
      <c r="E5794" s="1" t="s">
        <v>18</v>
      </c>
      <c r="F5794" t="str">
        <f>HYPERLINK("http://www.sec.gov/Archives/edgar/data/105770/0000105770-16-000060-index.html")</f>
        <v>http://www.sec.gov/Archives/edgar/data/105770/0000105770-16-000060-index.html</v>
      </c>
    </row>
    <row r="5795" spans="1:6" x14ac:dyDescent="0.2">
      <c r="A5795" t="s">
        <v>5274</v>
      </c>
      <c r="B5795" s="1">
        <v>1058811</v>
      </c>
      <c r="C5795" s="1">
        <v>3577</v>
      </c>
      <c r="D5795" s="2">
        <v>42426</v>
      </c>
      <c r="E5795" s="1" t="s">
        <v>18</v>
      </c>
      <c r="F5795" t="str">
        <f>HYPERLINK("http://www.sec.gov/Archives/edgar/data/1058811/0001058811-16-000019-index.html")</f>
        <v>http://www.sec.gov/Archives/edgar/data/1058811/0001058811-16-000019-index.html</v>
      </c>
    </row>
    <row r="5796" spans="1:6" x14ac:dyDescent="0.2">
      <c r="A5796" t="s">
        <v>5275</v>
      </c>
      <c r="B5796" s="1">
        <v>1060822</v>
      </c>
      <c r="C5796" s="1">
        <v>2300</v>
      </c>
      <c r="D5796" s="2">
        <v>42426</v>
      </c>
      <c r="E5796" s="1" t="s">
        <v>18</v>
      </c>
      <c r="F5796" t="str">
        <f>HYPERLINK("http://www.sec.gov/Archives/edgar/data/1060822/0001060822-16-000038-index.html")</f>
        <v>http://www.sec.gov/Archives/edgar/data/1060822/0001060822-16-000038-index.html</v>
      </c>
    </row>
    <row r="5797" spans="1:6" x14ac:dyDescent="0.2">
      <c r="A5797" t="s">
        <v>5276</v>
      </c>
      <c r="B5797" s="1">
        <v>1061219</v>
      </c>
      <c r="C5797" s="1">
        <v>4922</v>
      </c>
      <c r="D5797" s="2">
        <v>42426</v>
      </c>
      <c r="E5797" s="1" t="s">
        <v>18</v>
      </c>
      <c r="F5797" t="str">
        <f>HYPERLINK("http://www.sec.gov/Archives/edgar/data/1061219/0001061219-16-000058-index.html")</f>
        <v>http://www.sec.gov/Archives/edgar/data/1061219/0001061219-16-000058-index.html</v>
      </c>
    </row>
    <row r="5798" spans="1:6" x14ac:dyDescent="0.2">
      <c r="A5798" t="s">
        <v>5277</v>
      </c>
      <c r="B5798" s="1">
        <v>106170</v>
      </c>
      <c r="C5798" s="1">
        <v>4911</v>
      </c>
      <c r="D5798" s="2">
        <v>42426</v>
      </c>
      <c r="E5798" s="1" t="s">
        <v>18</v>
      </c>
      <c r="F5798" t="str">
        <f>HYPERLINK("http://www.sec.gov/Archives/edgar/data/106170/0000072741-16-000063-index.html")</f>
        <v>http://www.sec.gov/Archives/edgar/data/106170/0000072741-16-000063-index.html</v>
      </c>
    </row>
    <row r="5799" spans="1:6" x14ac:dyDescent="0.2">
      <c r="A5799" t="s">
        <v>5278</v>
      </c>
      <c r="B5799" s="1">
        <v>1063761</v>
      </c>
      <c r="C5799" s="1">
        <v>6798</v>
      </c>
      <c r="D5799" s="2">
        <v>42426</v>
      </c>
      <c r="E5799" s="1" t="s">
        <v>18</v>
      </c>
      <c r="F5799" t="str">
        <f>HYPERLINK("http://www.sec.gov/Archives/edgar/data/1063761/0001047469-16-010465-index.html")</f>
        <v>http://www.sec.gov/Archives/edgar/data/1063761/0001047469-16-010465-index.html</v>
      </c>
    </row>
    <row r="5800" spans="1:6" x14ac:dyDescent="0.2">
      <c r="A5800" t="s">
        <v>5279</v>
      </c>
      <c r="B5800" s="1">
        <v>1065837</v>
      </c>
      <c r="C5800" s="1">
        <v>3140</v>
      </c>
      <c r="D5800" s="2">
        <v>42426</v>
      </c>
      <c r="E5800" s="1" t="s">
        <v>18</v>
      </c>
      <c r="F5800" t="str">
        <f>HYPERLINK("http://www.sec.gov/Archives/edgar/data/1065837/0001564590-16-013515-index.html")</f>
        <v>http://www.sec.gov/Archives/edgar/data/1065837/0001564590-16-013515-index.html</v>
      </c>
    </row>
    <row r="5801" spans="1:6" x14ac:dyDescent="0.2">
      <c r="A5801" t="s">
        <v>5280</v>
      </c>
      <c r="B5801" s="1">
        <v>106618</v>
      </c>
      <c r="C5801" s="1">
        <v>3470</v>
      </c>
      <c r="D5801" s="2">
        <v>42426</v>
      </c>
      <c r="E5801" s="1" t="s">
        <v>18</v>
      </c>
      <c r="F5801" t="str">
        <f>HYPERLINK("http://www.sec.gov/Archives/edgar/data/106618/0000106618-16-000029-index.html")</f>
        <v>http://www.sec.gov/Archives/edgar/data/106618/0000106618-16-000029-index.html</v>
      </c>
    </row>
    <row r="5802" spans="1:6" x14ac:dyDescent="0.2">
      <c r="A5802" t="s">
        <v>5281</v>
      </c>
      <c r="B5802" s="1">
        <v>1067837</v>
      </c>
      <c r="C5802" s="1">
        <v>4832</v>
      </c>
      <c r="D5802" s="2">
        <v>42426</v>
      </c>
      <c r="E5802" s="1" t="s">
        <v>18</v>
      </c>
      <c r="F5802" t="str">
        <f>HYPERLINK("http://www.sec.gov/Archives/edgar/data/1067837/0001193125-16-480572-index.html")</f>
        <v>http://www.sec.gov/Archives/edgar/data/1067837/0001193125-16-480572-index.html</v>
      </c>
    </row>
    <row r="5803" spans="1:6" x14ac:dyDescent="0.2">
      <c r="A5803" t="s">
        <v>5282</v>
      </c>
      <c r="B5803" s="1">
        <v>1069157</v>
      </c>
      <c r="C5803" s="1">
        <v>6022</v>
      </c>
      <c r="D5803" s="2">
        <v>42426</v>
      </c>
      <c r="E5803" s="1" t="s">
        <v>18</v>
      </c>
      <c r="F5803" t="str">
        <f>HYPERLINK("http://www.sec.gov/Archives/edgar/data/1069157/0001069157-16-000092-index.html")</f>
        <v>http://www.sec.gov/Archives/edgar/data/1069157/0001069157-16-000092-index.html</v>
      </c>
    </row>
    <row r="5804" spans="1:6" x14ac:dyDescent="0.2">
      <c r="A5804" t="s">
        <v>5283</v>
      </c>
      <c r="B5804" s="1">
        <v>1070698</v>
      </c>
      <c r="C5804" s="1">
        <v>2834</v>
      </c>
      <c r="D5804" s="2">
        <v>42426</v>
      </c>
      <c r="E5804" s="1" t="s">
        <v>18</v>
      </c>
      <c r="F5804" t="str">
        <f>HYPERLINK("http://www.sec.gov/Archives/edgar/data/1070698/0001564590-16-013558-index.html")</f>
        <v>http://www.sec.gov/Archives/edgar/data/1070698/0001564590-16-013558-index.html</v>
      </c>
    </row>
    <row r="5805" spans="1:6" x14ac:dyDescent="0.2">
      <c r="A5805" t="s">
        <v>5284</v>
      </c>
      <c r="B5805" s="1">
        <v>107263</v>
      </c>
      <c r="C5805" s="1">
        <v>4922</v>
      </c>
      <c r="D5805" s="2">
        <v>42426</v>
      </c>
      <c r="E5805" s="1" t="s">
        <v>18</v>
      </c>
      <c r="F5805" t="str">
        <f>HYPERLINK("http://www.sec.gov/Archives/edgar/data/107263/0000107263-16-000021-index.html")</f>
        <v>http://www.sec.gov/Archives/edgar/data/107263/0000107263-16-000021-index.html</v>
      </c>
    </row>
    <row r="5806" spans="1:6" x14ac:dyDescent="0.2">
      <c r="A5806" t="s">
        <v>5285</v>
      </c>
      <c r="B5806" s="1">
        <v>1075607</v>
      </c>
      <c r="C5806" s="1">
        <v>4922</v>
      </c>
      <c r="D5806" s="2">
        <v>42426</v>
      </c>
      <c r="E5806" s="1" t="s">
        <v>18</v>
      </c>
      <c r="F5806" t="str">
        <f>HYPERLINK("http://www.sec.gov/Archives/edgar/data/1075607/0001047469-16-010495-index.html")</f>
        <v>http://www.sec.gov/Archives/edgar/data/1075607/0001047469-16-010495-index.html</v>
      </c>
    </row>
    <row r="5807" spans="1:6" x14ac:dyDescent="0.2">
      <c r="A5807" t="s">
        <v>17</v>
      </c>
      <c r="B5807" s="1">
        <v>1076682</v>
      </c>
      <c r="C5807" s="1">
        <v>7372</v>
      </c>
      <c r="D5807" s="2">
        <v>42426</v>
      </c>
      <c r="E5807" s="1" t="s">
        <v>42</v>
      </c>
      <c r="F5807" t="str">
        <f>HYPERLINK("http://www.sec.gov/Archives/edgar/data/1076682/0001415889-16-004911-index.html")</f>
        <v>http://www.sec.gov/Archives/edgar/data/1076682/0001415889-16-004911-index.html</v>
      </c>
    </row>
    <row r="5808" spans="1:6" x14ac:dyDescent="0.2">
      <c r="A5808" t="s">
        <v>5286</v>
      </c>
      <c r="B5808" s="1">
        <v>107815</v>
      </c>
      <c r="C5808" s="1">
        <v>4911</v>
      </c>
      <c r="D5808" s="2">
        <v>42426</v>
      </c>
      <c r="E5808" s="1" t="s">
        <v>18</v>
      </c>
      <c r="F5808" t="str">
        <f>HYPERLINK("http://www.sec.gov/Archives/edgar/data/107815/0000107815-16-000249-index.html")</f>
        <v>http://www.sec.gov/Archives/edgar/data/107815/0000107815-16-000249-index.html</v>
      </c>
    </row>
    <row r="5809" spans="1:6" x14ac:dyDescent="0.2">
      <c r="A5809" t="s">
        <v>5287</v>
      </c>
      <c r="B5809" s="1">
        <v>107833</v>
      </c>
      <c r="C5809" s="1">
        <v>4931</v>
      </c>
      <c r="D5809" s="2">
        <v>42426</v>
      </c>
      <c r="E5809" s="1" t="s">
        <v>18</v>
      </c>
      <c r="F5809" t="str">
        <f>HYPERLINK("http://www.sec.gov/Archives/edgar/data/107833/0000107815-16-000250-index.html")</f>
        <v>http://www.sec.gov/Archives/edgar/data/107833/0000107815-16-000250-index.html</v>
      </c>
    </row>
    <row r="5810" spans="1:6" x14ac:dyDescent="0.2">
      <c r="A5810" t="s">
        <v>5288</v>
      </c>
      <c r="B5810" s="1">
        <v>1079577</v>
      </c>
      <c r="C5810" s="1">
        <v>6321</v>
      </c>
      <c r="D5810" s="2">
        <v>42426</v>
      </c>
      <c r="E5810" s="1" t="s">
        <v>18</v>
      </c>
      <c r="F5810" t="str">
        <f>HYPERLINK("http://www.sec.gov/Archives/edgar/data/1079577/0001193125-16-482052-index.html")</f>
        <v>http://www.sec.gov/Archives/edgar/data/1079577/0001193125-16-482052-index.html</v>
      </c>
    </row>
    <row r="5811" spans="1:6" x14ac:dyDescent="0.2">
      <c r="A5811" t="s">
        <v>5289</v>
      </c>
      <c r="B5811" s="1">
        <v>1086600</v>
      </c>
      <c r="C5811" s="1">
        <v>1221</v>
      </c>
      <c r="D5811" s="2">
        <v>42426</v>
      </c>
      <c r="E5811" s="1" t="s">
        <v>18</v>
      </c>
      <c r="F5811" t="str">
        <f>HYPERLINK("http://www.sec.gov/Archives/edgar/data/1086600/0001104659-16-100435-index.html")</f>
        <v>http://www.sec.gov/Archives/edgar/data/1086600/0001104659-16-100435-index.html</v>
      </c>
    </row>
    <row r="5812" spans="1:6" x14ac:dyDescent="0.2">
      <c r="A5812" t="s">
        <v>5290</v>
      </c>
      <c r="B5812" s="1">
        <v>1089029</v>
      </c>
      <c r="C5812" s="1">
        <v>7389</v>
      </c>
      <c r="D5812" s="2">
        <v>42426</v>
      </c>
      <c r="E5812" s="1" t="s">
        <v>18</v>
      </c>
      <c r="F5812" t="str">
        <f>HYPERLINK("http://www.sec.gov/Archives/edgar/data/1089029/0001493152-16-007687-index.html")</f>
        <v>http://www.sec.gov/Archives/edgar/data/1089029/0001493152-16-007687-index.html</v>
      </c>
    </row>
    <row r="5813" spans="1:6" x14ac:dyDescent="0.2">
      <c r="A5813" t="s">
        <v>5291</v>
      </c>
      <c r="B5813" s="1">
        <v>1089819</v>
      </c>
      <c r="C5813" s="1">
        <v>4911</v>
      </c>
      <c r="D5813" s="2">
        <v>42426</v>
      </c>
      <c r="E5813" s="1" t="s">
        <v>18</v>
      </c>
      <c r="F5813" t="str">
        <f>HYPERLINK("http://www.sec.gov/Archives/edgar/data/1089819/0001089819-16-000071-index.html")</f>
        <v>http://www.sec.gov/Archives/edgar/data/1089819/0001089819-16-000071-index.html</v>
      </c>
    </row>
    <row r="5814" spans="1:6" x14ac:dyDescent="0.2">
      <c r="A5814" t="s">
        <v>5292</v>
      </c>
      <c r="B5814" s="1">
        <v>1091748</v>
      </c>
      <c r="C5814" s="1">
        <v>6361</v>
      </c>
      <c r="D5814" s="2">
        <v>42426</v>
      </c>
      <c r="E5814" s="1" t="s">
        <v>18</v>
      </c>
      <c r="F5814" t="str">
        <f>HYPERLINK("http://www.sec.gov/Archives/edgar/data/1091748/0001564590-16-013542-index.html")</f>
        <v>http://www.sec.gov/Archives/edgar/data/1091748/0001564590-16-013542-index.html</v>
      </c>
    </row>
    <row r="5815" spans="1:6" x14ac:dyDescent="0.2">
      <c r="A5815" t="s">
        <v>5293</v>
      </c>
      <c r="B5815" s="1">
        <v>1093082</v>
      </c>
      <c r="C5815" s="1">
        <v>5030</v>
      </c>
      <c r="D5815" s="2">
        <v>42426</v>
      </c>
      <c r="E5815" s="1" t="s">
        <v>18</v>
      </c>
      <c r="F5815" t="str">
        <f>HYPERLINK("http://www.sec.gov/Archives/edgar/data/1093082/0001564590-16-013424-index.html")</f>
        <v>http://www.sec.gov/Archives/edgar/data/1093082/0001564590-16-013424-index.html</v>
      </c>
    </row>
    <row r="5816" spans="1:6" x14ac:dyDescent="0.2">
      <c r="A5816" t="s">
        <v>5294</v>
      </c>
      <c r="B5816" s="1">
        <v>1095291</v>
      </c>
      <c r="C5816" s="1">
        <v>7372</v>
      </c>
      <c r="D5816" s="2">
        <v>42426</v>
      </c>
      <c r="E5816" s="1" t="s">
        <v>18</v>
      </c>
      <c r="F5816" t="str">
        <f>HYPERLINK("http://www.sec.gov/Archives/edgar/data/1095291/0001095291-16-000109-index.html")</f>
        <v>http://www.sec.gov/Archives/edgar/data/1095291/0001095291-16-000109-index.html</v>
      </c>
    </row>
    <row r="5817" spans="1:6" x14ac:dyDescent="0.2">
      <c r="A5817" t="s">
        <v>5295</v>
      </c>
      <c r="B5817" s="1">
        <v>1095565</v>
      </c>
      <c r="C5817" s="1">
        <v>7370</v>
      </c>
      <c r="D5817" s="2">
        <v>42426</v>
      </c>
      <c r="E5817" s="1" t="s">
        <v>18</v>
      </c>
      <c r="F5817" t="str">
        <f>HYPERLINK("http://www.sec.gov/Archives/edgar/data/1095565/0001193125-16-481909-index.html")</f>
        <v>http://www.sec.gov/Archives/edgar/data/1095565/0001193125-16-481909-index.html</v>
      </c>
    </row>
    <row r="5818" spans="1:6" x14ac:dyDescent="0.2">
      <c r="A5818" t="s">
        <v>4280</v>
      </c>
      <c r="B5818" s="1">
        <v>1095651</v>
      </c>
      <c r="C5818" s="1">
        <v>6798</v>
      </c>
      <c r="D5818" s="2">
        <v>42426</v>
      </c>
      <c r="E5818" s="1" t="s">
        <v>18</v>
      </c>
      <c r="F5818" t="str">
        <f>HYPERLINK("http://www.sec.gov/Archives/edgar/data/1095651/0001095651-16-000037-index.html")</f>
        <v>http://www.sec.gov/Archives/edgar/data/1095651/0001095651-16-000037-index.html</v>
      </c>
    </row>
    <row r="5819" spans="1:6" x14ac:dyDescent="0.2">
      <c r="A5819" t="s">
        <v>5296</v>
      </c>
      <c r="B5819" s="1">
        <v>1096343</v>
      </c>
      <c r="C5819" s="1">
        <v>6331</v>
      </c>
      <c r="D5819" s="2">
        <v>42426</v>
      </c>
      <c r="E5819" s="1" t="s">
        <v>18</v>
      </c>
      <c r="F5819" t="str">
        <f>HYPERLINK("http://www.sec.gov/Archives/edgar/data/1096343/0001096343-16-000185-index.html")</f>
        <v>http://www.sec.gov/Archives/edgar/data/1096343/0001096343-16-000185-index.html</v>
      </c>
    </row>
    <row r="5820" spans="1:6" x14ac:dyDescent="0.2">
      <c r="A5820" t="s">
        <v>5297</v>
      </c>
      <c r="B5820" s="1">
        <v>1099160</v>
      </c>
      <c r="C5820" s="1">
        <v>4832</v>
      </c>
      <c r="D5820" s="2">
        <v>42426</v>
      </c>
      <c r="E5820" s="1" t="s">
        <v>18</v>
      </c>
      <c r="F5820" t="str">
        <f>HYPERLINK("http://www.sec.gov/Archives/edgar/data/1099160/0001193125-16-480510-index.html")</f>
        <v>http://www.sec.gov/Archives/edgar/data/1099160/0001193125-16-480510-index.html</v>
      </c>
    </row>
    <row r="5821" spans="1:6" x14ac:dyDescent="0.2">
      <c r="A5821" t="s">
        <v>5298</v>
      </c>
      <c r="B5821" s="1">
        <v>1099590</v>
      </c>
      <c r="C5821" s="1">
        <v>7389</v>
      </c>
      <c r="D5821" s="2">
        <v>42426</v>
      </c>
      <c r="E5821" s="1" t="s">
        <v>18</v>
      </c>
      <c r="F5821" t="str">
        <f>HYPERLINK("http://www.sec.gov/Archives/edgar/data/1099590/0001562762-16-000352-index.html")</f>
        <v>http://www.sec.gov/Archives/edgar/data/1099590/0001562762-16-000352-index.html</v>
      </c>
    </row>
    <row r="5822" spans="1:6" x14ac:dyDescent="0.2">
      <c r="A5822" t="s">
        <v>5299</v>
      </c>
      <c r="B5822" s="1">
        <v>1100179</v>
      </c>
      <c r="C5822" s="1">
        <v>6189</v>
      </c>
      <c r="D5822" s="2">
        <v>42426</v>
      </c>
      <c r="E5822" s="1" t="s">
        <v>18</v>
      </c>
      <c r="F5822" t="str">
        <f>HYPERLINK("http://www.sec.gov/Archives/edgar/data/1100179/0001562762-16-000345-index.html")</f>
        <v>http://www.sec.gov/Archives/edgar/data/1100179/0001562762-16-000345-index.html</v>
      </c>
    </row>
    <row r="5823" spans="1:6" x14ac:dyDescent="0.2">
      <c r="A5823" t="s">
        <v>5300</v>
      </c>
      <c r="B5823" s="1">
        <v>1101239</v>
      </c>
      <c r="C5823" s="1">
        <v>6798</v>
      </c>
      <c r="D5823" s="2">
        <v>42426</v>
      </c>
      <c r="E5823" s="1" t="s">
        <v>18</v>
      </c>
      <c r="F5823" t="str">
        <f>HYPERLINK("http://www.sec.gov/Archives/edgar/data/1101239/0001628280-16-011802-index.html")</f>
        <v>http://www.sec.gov/Archives/edgar/data/1101239/0001628280-16-011802-index.html</v>
      </c>
    </row>
    <row r="5824" spans="1:6" x14ac:dyDescent="0.2">
      <c r="A5824" t="s">
        <v>5301</v>
      </c>
      <c r="B5824" s="1">
        <v>1104188</v>
      </c>
      <c r="C5824" s="1">
        <v>7374</v>
      </c>
      <c r="D5824" s="2">
        <v>42426</v>
      </c>
      <c r="E5824" s="1" t="s">
        <v>18</v>
      </c>
      <c r="F5824" t="str">
        <f>HYPERLINK("http://www.sec.gov/Archives/edgar/data/1104188/0001193125-16-479332-index.html")</f>
        <v>http://www.sec.gov/Archives/edgar/data/1104188/0001193125-16-479332-index.html</v>
      </c>
    </row>
    <row r="5825" spans="1:6" x14ac:dyDescent="0.2">
      <c r="A5825" t="s">
        <v>1284</v>
      </c>
      <c r="B5825" s="1">
        <v>1107694</v>
      </c>
      <c r="C5825" s="1">
        <v>7370</v>
      </c>
      <c r="D5825" s="2">
        <v>42426</v>
      </c>
      <c r="E5825" s="1" t="s">
        <v>18</v>
      </c>
      <c r="F5825" t="str">
        <f>HYPERLINK("http://www.sec.gov/Archives/edgar/data/1107694/0001107694-16-000063-index.html")</f>
        <v>http://www.sec.gov/Archives/edgar/data/1107694/0001107694-16-000063-index.html</v>
      </c>
    </row>
    <row r="5826" spans="1:6" x14ac:dyDescent="0.2">
      <c r="A5826" t="s">
        <v>5302</v>
      </c>
      <c r="B5826" s="1">
        <v>1107843</v>
      </c>
      <c r="C5826" s="1">
        <v>7372</v>
      </c>
      <c r="D5826" s="2">
        <v>42426</v>
      </c>
      <c r="E5826" s="1" t="s">
        <v>18</v>
      </c>
      <c r="F5826" t="str">
        <f>HYPERLINK("http://www.sec.gov/Archives/edgar/data/1107843/0001107843-16-000022-index.html")</f>
        <v>http://www.sec.gov/Archives/edgar/data/1107843/0001107843-16-000022-index.html</v>
      </c>
    </row>
    <row r="5827" spans="1:6" x14ac:dyDescent="0.2">
      <c r="A5827" t="s">
        <v>5303</v>
      </c>
      <c r="B5827" s="1">
        <v>1108236</v>
      </c>
      <c r="C5827" s="1">
        <v>6022</v>
      </c>
      <c r="D5827" s="2">
        <v>42426</v>
      </c>
      <c r="E5827" s="1" t="s">
        <v>18</v>
      </c>
      <c r="F5827" t="str">
        <f>HYPERLINK("http://www.sec.gov/Archives/edgar/data/1108236/0001019056-16-001140-index.html")</f>
        <v>http://www.sec.gov/Archives/edgar/data/1108236/0001019056-16-001140-index.html</v>
      </c>
    </row>
    <row r="5828" spans="1:6" x14ac:dyDescent="0.2">
      <c r="A5828" t="s">
        <v>5304</v>
      </c>
      <c r="B5828" s="1">
        <v>1111928</v>
      </c>
      <c r="C5828" s="1">
        <v>3674</v>
      </c>
      <c r="D5828" s="2">
        <v>42426</v>
      </c>
      <c r="E5828" s="1" t="s">
        <v>18</v>
      </c>
      <c r="F5828" t="str">
        <f>HYPERLINK("http://www.sec.gov/Archives/edgar/data/1111928/0001111928-16-000159-index.html")</f>
        <v>http://www.sec.gov/Archives/edgar/data/1111928/0001111928-16-000159-index.html</v>
      </c>
    </row>
    <row r="5829" spans="1:6" x14ac:dyDescent="0.2">
      <c r="A5829" t="s">
        <v>5305</v>
      </c>
      <c r="B5829" s="1">
        <v>1114220</v>
      </c>
      <c r="C5829" s="1">
        <v>2834</v>
      </c>
      <c r="D5829" s="2">
        <v>42426</v>
      </c>
      <c r="E5829" s="1" t="s">
        <v>18</v>
      </c>
      <c r="F5829" t="str">
        <f>HYPERLINK("http://www.sec.gov/Archives/edgar/data/1114220/0001193125-16-481950-index.html")</f>
        <v>http://www.sec.gov/Archives/edgar/data/1114220/0001193125-16-481950-index.html</v>
      </c>
    </row>
    <row r="5830" spans="1:6" x14ac:dyDescent="0.2">
      <c r="A5830" t="s">
        <v>5306</v>
      </c>
      <c r="B5830" s="1">
        <v>1115222</v>
      </c>
      <c r="C5830" s="1">
        <v>7320</v>
      </c>
      <c r="D5830" s="2">
        <v>42426</v>
      </c>
      <c r="E5830" s="1" t="s">
        <v>18</v>
      </c>
      <c r="F5830" t="str">
        <f>HYPERLINK("http://www.sec.gov/Archives/edgar/data/1115222/0001115222-16-000045-index.html")</f>
        <v>http://www.sec.gov/Archives/edgar/data/1115222/0001115222-16-000045-index.html</v>
      </c>
    </row>
    <row r="5831" spans="1:6" x14ac:dyDescent="0.2">
      <c r="A5831" t="s">
        <v>5307</v>
      </c>
      <c r="B5831" s="1">
        <v>1120193</v>
      </c>
      <c r="C5831" s="1">
        <v>6200</v>
      </c>
      <c r="D5831" s="2">
        <v>42426</v>
      </c>
      <c r="E5831" s="1" t="s">
        <v>18</v>
      </c>
      <c r="F5831" t="str">
        <f>HYPERLINK("http://www.sec.gov/Archives/edgar/data/1120193/0001120193-16-000020-index.html")</f>
        <v>http://www.sec.gov/Archives/edgar/data/1120193/0001120193-16-000020-index.html</v>
      </c>
    </row>
    <row r="5832" spans="1:6" x14ac:dyDescent="0.2">
      <c r="A5832" t="s">
        <v>5308</v>
      </c>
      <c r="B5832" s="1">
        <v>1120370</v>
      </c>
      <c r="C5832" s="1">
        <v>3360</v>
      </c>
      <c r="D5832" s="2">
        <v>42426</v>
      </c>
      <c r="E5832" s="1" t="s">
        <v>18</v>
      </c>
      <c r="F5832" t="str">
        <f>HYPERLINK("http://www.sec.gov/Archives/edgar/data/1120370/0001120370-16-000033-index.html")</f>
        <v>http://www.sec.gov/Archives/edgar/data/1120370/0001120370-16-000033-index.html</v>
      </c>
    </row>
    <row r="5833" spans="1:6" x14ac:dyDescent="0.2">
      <c r="A5833" t="s">
        <v>5309</v>
      </c>
      <c r="B5833" s="1">
        <v>1130310</v>
      </c>
      <c r="C5833" s="1">
        <v>4911</v>
      </c>
      <c r="D5833" s="2">
        <v>42426</v>
      </c>
      <c r="E5833" s="1" t="s">
        <v>18</v>
      </c>
      <c r="F5833" t="str">
        <f>HYPERLINK("http://www.sec.gov/Archives/edgar/data/1130310/0001130310-16-000031-index.html")</f>
        <v>http://www.sec.gov/Archives/edgar/data/1130310/0001130310-16-000031-index.html</v>
      </c>
    </row>
    <row r="5834" spans="1:6" x14ac:dyDescent="0.2">
      <c r="A5834" t="s">
        <v>5310</v>
      </c>
      <c r="B5834" s="1">
        <v>1130591</v>
      </c>
      <c r="C5834" s="1">
        <v>2834</v>
      </c>
      <c r="D5834" s="2">
        <v>42426</v>
      </c>
      <c r="E5834" s="1" t="s">
        <v>18</v>
      </c>
      <c r="F5834" t="str">
        <f>HYPERLINK("http://www.sec.gov/Archives/edgar/data/1130591/0001193125-16-482271-index.html")</f>
        <v>http://www.sec.gov/Archives/edgar/data/1130591/0001193125-16-482271-index.html</v>
      </c>
    </row>
    <row r="5835" spans="1:6" x14ac:dyDescent="0.2">
      <c r="A5835" t="s">
        <v>5311</v>
      </c>
      <c r="B5835" s="1">
        <v>1131227</v>
      </c>
      <c r="C5835" s="1">
        <v>4400</v>
      </c>
      <c r="D5835" s="2">
        <v>42426</v>
      </c>
      <c r="E5835" s="1" t="s">
        <v>18</v>
      </c>
      <c r="F5835" t="str">
        <f>HYPERLINK("http://www.sec.gov/Archives/edgar/data/1131227/0001131227-16-000058-index.html")</f>
        <v>http://www.sec.gov/Archives/edgar/data/1131227/0001131227-16-000058-index.html</v>
      </c>
    </row>
    <row r="5836" spans="1:6" x14ac:dyDescent="0.2">
      <c r="A5836" t="s">
        <v>5312</v>
      </c>
      <c r="B5836" s="1">
        <v>1131554</v>
      </c>
      <c r="C5836" s="1">
        <v>7371</v>
      </c>
      <c r="D5836" s="2">
        <v>42426</v>
      </c>
      <c r="E5836" s="1" t="s">
        <v>18</v>
      </c>
      <c r="F5836" t="str">
        <f>HYPERLINK("http://www.sec.gov/Archives/edgar/data/1131554/0001131554-16-000033-index.html")</f>
        <v>http://www.sec.gov/Archives/edgar/data/1131554/0001131554-16-000033-index.html</v>
      </c>
    </row>
    <row r="5837" spans="1:6" x14ac:dyDescent="0.2">
      <c r="A5837" t="s">
        <v>5313</v>
      </c>
      <c r="B5837" s="1">
        <v>1136893</v>
      </c>
      <c r="C5837" s="1">
        <v>7389</v>
      </c>
      <c r="D5837" s="2">
        <v>42426</v>
      </c>
      <c r="E5837" s="1" t="s">
        <v>18</v>
      </c>
      <c r="F5837" t="str">
        <f>HYPERLINK("http://www.sec.gov/Archives/edgar/data/1136893/0001136893-16-000061-index.html")</f>
        <v>http://www.sec.gov/Archives/edgar/data/1136893/0001136893-16-000061-index.html</v>
      </c>
    </row>
    <row r="5838" spans="1:6" x14ac:dyDescent="0.2">
      <c r="A5838" t="s">
        <v>5314</v>
      </c>
      <c r="B5838" s="1">
        <v>1137091</v>
      </c>
      <c r="C5838" s="1">
        <v>3510</v>
      </c>
      <c r="D5838" s="2">
        <v>42426</v>
      </c>
      <c r="E5838" s="1" t="s">
        <v>18</v>
      </c>
      <c r="F5838" t="str">
        <f>HYPERLINK("http://www.sec.gov/Archives/edgar/data/1137091/0001193125-16-482422-index.html")</f>
        <v>http://www.sec.gov/Archives/edgar/data/1137091/0001193125-16-482422-index.html</v>
      </c>
    </row>
    <row r="5839" spans="1:6" x14ac:dyDescent="0.2">
      <c r="A5839" t="s">
        <v>5315</v>
      </c>
      <c r="B5839" s="1">
        <v>1138776</v>
      </c>
      <c r="C5839" s="1">
        <v>2836</v>
      </c>
      <c r="D5839" s="2">
        <v>42426</v>
      </c>
      <c r="E5839" s="1" t="s">
        <v>18</v>
      </c>
      <c r="F5839" t="str">
        <f>HYPERLINK("http://www.sec.gov/Archives/edgar/data/1138776/0001144204-16-084435-index.html")</f>
        <v>http://www.sec.gov/Archives/edgar/data/1138776/0001144204-16-084435-index.html</v>
      </c>
    </row>
    <row r="5840" spans="1:6" x14ac:dyDescent="0.2">
      <c r="A5840" t="s">
        <v>5316</v>
      </c>
      <c r="B5840" s="1">
        <v>1156375</v>
      </c>
      <c r="C5840" s="1">
        <v>6200</v>
      </c>
      <c r="D5840" s="2">
        <v>42426</v>
      </c>
      <c r="E5840" s="1" t="s">
        <v>18</v>
      </c>
      <c r="F5840" t="str">
        <f>HYPERLINK("http://www.sec.gov/Archives/edgar/data/1156375/0001156375-16-000116-index.html")</f>
        <v>http://www.sec.gov/Archives/edgar/data/1156375/0001156375-16-000116-index.html</v>
      </c>
    </row>
    <row r="5841" spans="1:6" x14ac:dyDescent="0.2">
      <c r="A5841" t="s">
        <v>5317</v>
      </c>
      <c r="B5841" s="1">
        <v>1158659</v>
      </c>
      <c r="C5841" s="1">
        <v>4911</v>
      </c>
      <c r="D5841" s="2">
        <v>42426</v>
      </c>
      <c r="E5841" s="1" t="s">
        <v>18</v>
      </c>
      <c r="F5841" t="str">
        <f>HYPERLINK("http://www.sec.gov/Archives/edgar/data/1158659/0000788784-16-000014-index.html")</f>
        <v>http://www.sec.gov/Archives/edgar/data/1158659/0000788784-16-000014-index.html</v>
      </c>
    </row>
    <row r="5842" spans="1:6" x14ac:dyDescent="0.2">
      <c r="A5842" t="s">
        <v>5318</v>
      </c>
      <c r="B5842" s="1">
        <v>1160661</v>
      </c>
      <c r="C5842" s="1">
        <v>4911</v>
      </c>
      <c r="D5842" s="2">
        <v>42426</v>
      </c>
      <c r="E5842" s="1" t="s">
        <v>18</v>
      </c>
      <c r="F5842" t="str">
        <f>HYPERLINK("http://www.sec.gov/Archives/edgar/data/1160661/0000092122-16-000126-index.html")</f>
        <v>http://www.sec.gov/Archives/edgar/data/1160661/0000092122-16-000126-index.html</v>
      </c>
    </row>
    <row r="5843" spans="1:6" x14ac:dyDescent="0.2">
      <c r="A5843" t="s">
        <v>5319</v>
      </c>
      <c r="B5843" s="1">
        <v>1161154</v>
      </c>
      <c r="C5843" s="1">
        <v>4610</v>
      </c>
      <c r="D5843" s="2">
        <v>42426</v>
      </c>
      <c r="E5843" s="1" t="s">
        <v>18</v>
      </c>
      <c r="F5843" t="str">
        <f>HYPERLINK("http://www.sec.gov/Archives/edgar/data/1161154/0001161154-16-000062-index.html")</f>
        <v>http://www.sec.gov/Archives/edgar/data/1161154/0001161154-16-000062-index.html</v>
      </c>
    </row>
    <row r="5844" spans="1:6" x14ac:dyDescent="0.2">
      <c r="A5844" t="s">
        <v>5320</v>
      </c>
      <c r="B5844" s="1">
        <v>1163739</v>
      </c>
      <c r="C5844" s="1">
        <v>1381</v>
      </c>
      <c r="D5844" s="2">
        <v>42426</v>
      </c>
      <c r="E5844" s="1" t="s">
        <v>18</v>
      </c>
      <c r="F5844" t="str">
        <f>HYPERLINK("http://www.sec.gov/Archives/edgar/data/1163739/0001104659-16-100551-index.html")</f>
        <v>http://www.sec.gov/Archives/edgar/data/1163739/0001104659-16-100551-index.html</v>
      </c>
    </row>
    <row r="5845" spans="1:6" x14ac:dyDescent="0.2">
      <c r="A5845" t="s">
        <v>5321</v>
      </c>
      <c r="B5845" s="1">
        <v>1164863</v>
      </c>
      <c r="C5845" s="1">
        <v>3050</v>
      </c>
      <c r="D5845" s="2">
        <v>42426</v>
      </c>
      <c r="E5845" s="1" t="s">
        <v>18</v>
      </c>
      <c r="F5845" t="str">
        <f>HYPERLINK("http://www.sec.gov/Archives/edgar/data/1164863/0001164863-16-000040-index.html")</f>
        <v>http://www.sec.gov/Archives/edgar/data/1164863/0001164863-16-000040-index.html</v>
      </c>
    </row>
    <row r="5846" spans="1:6" x14ac:dyDescent="0.2">
      <c r="A5846" t="s">
        <v>5322</v>
      </c>
      <c r="B5846" s="1">
        <v>1172052</v>
      </c>
      <c r="C5846" s="1">
        <v>6331</v>
      </c>
      <c r="D5846" s="2">
        <v>42426</v>
      </c>
      <c r="E5846" s="1" t="s">
        <v>18</v>
      </c>
      <c r="F5846" t="str">
        <f>HYPERLINK("http://www.sec.gov/Archives/edgar/data/1172052/0001558370-16-003558-index.html")</f>
        <v>http://www.sec.gov/Archives/edgar/data/1172052/0001558370-16-003558-index.html</v>
      </c>
    </row>
    <row r="5847" spans="1:6" x14ac:dyDescent="0.2">
      <c r="A5847" t="s">
        <v>5323</v>
      </c>
      <c r="B5847" s="1">
        <v>1177702</v>
      </c>
      <c r="C5847" s="1">
        <v>4213</v>
      </c>
      <c r="D5847" s="2">
        <v>42426</v>
      </c>
      <c r="E5847" s="1" t="s">
        <v>18</v>
      </c>
      <c r="F5847" t="str">
        <f>HYPERLINK("http://www.sec.gov/Archives/edgar/data/1177702/0001564590-16-013560-index.html")</f>
        <v>http://www.sec.gov/Archives/edgar/data/1177702/0001564590-16-013560-index.html</v>
      </c>
    </row>
    <row r="5848" spans="1:6" x14ac:dyDescent="0.2">
      <c r="A5848" t="s">
        <v>5324</v>
      </c>
      <c r="B5848" s="1">
        <v>1179755</v>
      </c>
      <c r="C5848" s="1">
        <v>6331</v>
      </c>
      <c r="D5848" s="2">
        <v>42426</v>
      </c>
      <c r="E5848" s="1" t="s">
        <v>18</v>
      </c>
      <c r="F5848" t="str">
        <f>HYPERLINK("http://www.sec.gov/Archives/edgar/data/1179755/0001179755-16-000096-index.html")</f>
        <v>http://www.sec.gov/Archives/edgar/data/1179755/0001179755-16-000096-index.html</v>
      </c>
    </row>
    <row r="5849" spans="1:6" x14ac:dyDescent="0.2">
      <c r="A5849" t="s">
        <v>5325</v>
      </c>
      <c r="B5849" s="1">
        <v>1179929</v>
      </c>
      <c r="C5849" s="1">
        <v>6324</v>
      </c>
      <c r="D5849" s="2">
        <v>42426</v>
      </c>
      <c r="E5849" s="1" t="s">
        <v>18</v>
      </c>
      <c r="F5849" t="str">
        <f>HYPERLINK("http://www.sec.gov/Archives/edgar/data/1179929/0001179929-16-000231-index.html")</f>
        <v>http://www.sec.gov/Archives/edgar/data/1179929/0001179929-16-000231-index.html</v>
      </c>
    </row>
    <row r="5850" spans="1:6" x14ac:dyDescent="0.2">
      <c r="A5850" t="s">
        <v>5326</v>
      </c>
      <c r="B5850" s="1">
        <v>1185348</v>
      </c>
      <c r="C5850" s="1">
        <v>7320</v>
      </c>
      <c r="D5850" s="2">
        <v>42426</v>
      </c>
      <c r="E5850" s="1" t="s">
        <v>18</v>
      </c>
      <c r="F5850" t="str">
        <f>HYPERLINK("http://www.sec.gov/Archives/edgar/data/1185348/0001185348-16-000067-index.html")</f>
        <v>http://www.sec.gov/Archives/edgar/data/1185348/0001185348-16-000067-index.html</v>
      </c>
    </row>
    <row r="5851" spans="1:6" x14ac:dyDescent="0.2">
      <c r="A5851" t="s">
        <v>5327</v>
      </c>
      <c r="B5851" s="1">
        <v>1193311</v>
      </c>
      <c r="C5851" s="1">
        <v>4911</v>
      </c>
      <c r="D5851" s="2">
        <v>42426</v>
      </c>
      <c r="E5851" s="1" t="s">
        <v>18</v>
      </c>
      <c r="F5851" t="str">
        <f>HYPERLINK("http://www.sec.gov/Archives/edgar/data/1193311/0001193311-16-000035-index.html")</f>
        <v>http://www.sec.gov/Archives/edgar/data/1193311/0001193311-16-000035-index.html</v>
      </c>
    </row>
    <row r="5852" spans="1:6" x14ac:dyDescent="0.2">
      <c r="A5852" t="s">
        <v>5328</v>
      </c>
      <c r="B5852" s="1">
        <v>1235010</v>
      </c>
      <c r="C5852" s="1">
        <v>2836</v>
      </c>
      <c r="D5852" s="2">
        <v>42426</v>
      </c>
      <c r="E5852" s="1" t="s">
        <v>18</v>
      </c>
      <c r="F5852" t="str">
        <f>HYPERLINK("http://www.sec.gov/Archives/edgar/data/1235010/0001047469-16-010502-index.html")</f>
        <v>http://www.sec.gov/Archives/edgar/data/1235010/0001047469-16-010502-index.html</v>
      </c>
    </row>
    <row r="5853" spans="1:6" x14ac:dyDescent="0.2">
      <c r="A5853" t="s">
        <v>5329</v>
      </c>
      <c r="B5853" s="1">
        <v>1253986</v>
      </c>
      <c r="C5853" s="1">
        <v>6798</v>
      </c>
      <c r="D5853" s="2">
        <v>42426</v>
      </c>
      <c r="E5853" s="1" t="s">
        <v>18</v>
      </c>
      <c r="F5853" t="str">
        <f>HYPERLINK("http://www.sec.gov/Archives/edgar/data/1253986/0001047469-16-010477-index.html")</f>
        <v>http://www.sec.gov/Archives/edgar/data/1253986/0001047469-16-010477-index.html</v>
      </c>
    </row>
    <row r="5854" spans="1:6" x14ac:dyDescent="0.2">
      <c r="A5854" t="s">
        <v>5330</v>
      </c>
      <c r="B5854" s="1">
        <v>1262039</v>
      </c>
      <c r="C5854" s="1">
        <v>3577</v>
      </c>
      <c r="D5854" s="2">
        <v>42426</v>
      </c>
      <c r="E5854" s="1" t="s">
        <v>18</v>
      </c>
      <c r="F5854" t="str">
        <f>HYPERLINK("http://www.sec.gov/Archives/edgar/data/1262039/0001262039-16-000053-index.html")</f>
        <v>http://www.sec.gov/Archives/edgar/data/1262039/0001262039-16-000053-index.html</v>
      </c>
    </row>
    <row r="5855" spans="1:6" x14ac:dyDescent="0.2">
      <c r="A5855" t="s">
        <v>5331</v>
      </c>
      <c r="B5855" s="1">
        <v>1273813</v>
      </c>
      <c r="C5855" s="1">
        <v>6351</v>
      </c>
      <c r="D5855" s="2">
        <v>42426</v>
      </c>
      <c r="E5855" s="1" t="s">
        <v>18</v>
      </c>
      <c r="F5855" t="str">
        <f>HYPERLINK("http://www.sec.gov/Archives/edgar/data/1273813/0001273813-16-000055-index.html")</f>
        <v>http://www.sec.gov/Archives/edgar/data/1273813/0001273813-16-000055-index.html</v>
      </c>
    </row>
    <row r="5856" spans="1:6" x14ac:dyDescent="0.2">
      <c r="A5856" t="s">
        <v>5332</v>
      </c>
      <c r="B5856" s="1">
        <v>1274792</v>
      </c>
      <c r="C5856" s="1">
        <v>2834</v>
      </c>
      <c r="D5856" s="2">
        <v>42426</v>
      </c>
      <c r="E5856" s="1" t="s">
        <v>18</v>
      </c>
      <c r="F5856" t="str">
        <f>HYPERLINK("http://www.sec.gov/Archives/edgar/data/1274792/0001193125-16-480919-index.html")</f>
        <v>http://www.sec.gov/Archives/edgar/data/1274792/0001193125-16-480919-index.html</v>
      </c>
    </row>
    <row r="5857" spans="1:6" x14ac:dyDescent="0.2">
      <c r="A5857" t="s">
        <v>5333</v>
      </c>
      <c r="B5857" s="1">
        <v>1276520</v>
      </c>
      <c r="C5857" s="1">
        <v>6311</v>
      </c>
      <c r="D5857" s="2">
        <v>42426</v>
      </c>
      <c r="E5857" s="1" t="s">
        <v>18</v>
      </c>
      <c r="F5857" t="str">
        <f>HYPERLINK("http://www.sec.gov/Archives/edgar/data/1276520/0001193125-16-482185-index.html")</f>
        <v>http://www.sec.gov/Archives/edgar/data/1276520/0001193125-16-482185-index.html</v>
      </c>
    </row>
    <row r="5858" spans="1:6" x14ac:dyDescent="0.2">
      <c r="A5858" t="s">
        <v>1598</v>
      </c>
      <c r="B5858" s="1">
        <v>1282648</v>
      </c>
      <c r="C5858" s="1">
        <v>1311</v>
      </c>
      <c r="D5858" s="2">
        <v>42426</v>
      </c>
      <c r="E5858" s="1" t="s">
        <v>18</v>
      </c>
      <c r="F5858" t="str">
        <f>HYPERLINK("http://www.sec.gov/Archives/edgar/data/1282648/0001047469-16-010472-index.html")</f>
        <v>http://www.sec.gov/Archives/edgar/data/1282648/0001047469-16-010472-index.html</v>
      </c>
    </row>
    <row r="5859" spans="1:6" x14ac:dyDescent="0.2">
      <c r="A5859" t="s">
        <v>5334</v>
      </c>
      <c r="B5859" s="1">
        <v>1282977</v>
      </c>
      <c r="C5859" s="1">
        <v>6211</v>
      </c>
      <c r="D5859" s="2">
        <v>42426</v>
      </c>
      <c r="E5859" s="1" t="s">
        <v>18</v>
      </c>
      <c r="F5859" t="str">
        <f>HYPERLINK("http://www.sec.gov/Archives/edgar/data/1282977/0001282977-16-000016-index.html")</f>
        <v>http://www.sec.gov/Archives/edgar/data/1282977/0001282977-16-000016-index.html</v>
      </c>
    </row>
    <row r="5860" spans="1:6" x14ac:dyDescent="0.2">
      <c r="A5860" t="s">
        <v>5335</v>
      </c>
      <c r="B5860" s="1">
        <v>1284812</v>
      </c>
      <c r="C5860" s="1">
        <v>6282</v>
      </c>
      <c r="D5860" s="2">
        <v>42426</v>
      </c>
      <c r="E5860" s="1" t="s">
        <v>18</v>
      </c>
      <c r="F5860" t="str">
        <f>HYPERLINK("http://www.sec.gov/Archives/edgar/data/1284812/0001284812-16-000396-index.html")</f>
        <v>http://www.sec.gov/Archives/edgar/data/1284812/0001284812-16-000396-index.html</v>
      </c>
    </row>
    <row r="5861" spans="1:6" x14ac:dyDescent="0.2">
      <c r="A5861" t="s">
        <v>5336</v>
      </c>
      <c r="B5861" s="1">
        <v>1286043</v>
      </c>
      <c r="C5861" s="1">
        <v>6798</v>
      </c>
      <c r="D5861" s="2">
        <v>42426</v>
      </c>
      <c r="E5861" s="1" t="s">
        <v>18</v>
      </c>
      <c r="F5861" t="str">
        <f>HYPERLINK("http://www.sec.gov/Archives/edgar/data/1286043/0001286043-16-000131-index.html")</f>
        <v>http://www.sec.gov/Archives/edgar/data/1286043/0001286043-16-000131-index.html</v>
      </c>
    </row>
    <row r="5862" spans="1:6" x14ac:dyDescent="0.2">
      <c r="A5862" t="s">
        <v>4739</v>
      </c>
      <c r="B5862" s="1">
        <v>1289419</v>
      </c>
      <c r="C5862" s="1">
        <v>6282</v>
      </c>
      <c r="D5862" s="2">
        <v>42426</v>
      </c>
      <c r="E5862" s="1" t="s">
        <v>18</v>
      </c>
      <c r="F5862" t="str">
        <f>HYPERLINK("http://www.sec.gov/Archives/edgar/data/1289419/0001289419-16-000250-index.html")</f>
        <v>http://www.sec.gov/Archives/edgar/data/1289419/0001289419-16-000250-index.html</v>
      </c>
    </row>
    <row r="5863" spans="1:6" x14ac:dyDescent="0.2">
      <c r="A5863" t="s">
        <v>5337</v>
      </c>
      <c r="B5863" s="1">
        <v>1289460</v>
      </c>
      <c r="C5863" s="1">
        <v>5812</v>
      </c>
      <c r="D5863" s="2">
        <v>42426</v>
      </c>
      <c r="E5863" s="1" t="s">
        <v>18</v>
      </c>
      <c r="F5863" t="str">
        <f>HYPERLINK("http://www.sec.gov/Archives/edgar/data/1289460/0001558370-16-003617-index.html")</f>
        <v>http://www.sec.gov/Archives/edgar/data/1289460/0001558370-16-003617-index.html</v>
      </c>
    </row>
    <row r="5864" spans="1:6" x14ac:dyDescent="0.2">
      <c r="A5864" t="s">
        <v>5338</v>
      </c>
      <c r="B5864" s="1">
        <v>1296435</v>
      </c>
      <c r="C5864" s="1">
        <v>2621</v>
      </c>
      <c r="D5864" s="2">
        <v>42426</v>
      </c>
      <c r="E5864" s="1" t="s">
        <v>18</v>
      </c>
      <c r="F5864" t="str">
        <f>HYPERLINK("http://www.sec.gov/Archives/edgar/data/1296435/0001047469-16-010514-index.html")</f>
        <v>http://www.sec.gov/Archives/edgar/data/1296435/0001047469-16-010514-index.html</v>
      </c>
    </row>
    <row r="5865" spans="1:6" x14ac:dyDescent="0.2">
      <c r="A5865" t="s">
        <v>5339</v>
      </c>
      <c r="B5865" s="1">
        <v>1296445</v>
      </c>
      <c r="C5865" s="1">
        <v>4911</v>
      </c>
      <c r="D5865" s="2">
        <v>42426</v>
      </c>
      <c r="E5865" s="1" t="s">
        <v>18</v>
      </c>
      <c r="F5865" t="str">
        <f>HYPERLINK("http://www.sec.gov/Archives/edgar/data/1296445/0001437749-16-026139-index.html")</f>
        <v>http://www.sec.gov/Archives/edgar/data/1296445/0001437749-16-026139-index.html</v>
      </c>
    </row>
    <row r="5866" spans="1:6" x14ac:dyDescent="0.2">
      <c r="A5866" t="s">
        <v>5340</v>
      </c>
      <c r="B5866" s="1">
        <v>1297989</v>
      </c>
      <c r="C5866" s="1">
        <v>7389</v>
      </c>
      <c r="D5866" s="2">
        <v>42426</v>
      </c>
      <c r="E5866" s="1" t="s">
        <v>18</v>
      </c>
      <c r="F5866" t="str">
        <f>HYPERLINK("http://www.sec.gov/Archives/edgar/data/1297989/0001628280-16-011841-index.html")</f>
        <v>http://www.sec.gov/Archives/edgar/data/1297989/0001628280-16-011841-index.html</v>
      </c>
    </row>
    <row r="5867" spans="1:6" x14ac:dyDescent="0.2">
      <c r="A5867" t="s">
        <v>5341</v>
      </c>
      <c r="B5867" s="1">
        <v>1300514</v>
      </c>
      <c r="C5867" s="1">
        <v>7011</v>
      </c>
      <c r="D5867" s="2">
        <v>42426</v>
      </c>
      <c r="E5867" s="1" t="s">
        <v>18</v>
      </c>
      <c r="F5867" t="str">
        <f>HYPERLINK("http://www.sec.gov/Archives/edgar/data/1300514/0001300514-16-000023-index.html")</f>
        <v>http://www.sec.gov/Archives/edgar/data/1300514/0001300514-16-000023-index.html</v>
      </c>
    </row>
    <row r="5868" spans="1:6" x14ac:dyDescent="0.2">
      <c r="A5868" t="s">
        <v>5342</v>
      </c>
      <c r="B5868" s="1">
        <v>1301031</v>
      </c>
      <c r="C5868" s="1">
        <v>7371</v>
      </c>
      <c r="D5868" s="2">
        <v>42426</v>
      </c>
      <c r="E5868" s="1" t="s">
        <v>18</v>
      </c>
      <c r="F5868" t="str">
        <f>HYPERLINK("http://www.sec.gov/Archives/edgar/data/1301031/0001564590-16-013563-index.html")</f>
        <v>http://www.sec.gov/Archives/edgar/data/1301031/0001564590-16-013563-index.html</v>
      </c>
    </row>
    <row r="5869" spans="1:6" x14ac:dyDescent="0.2">
      <c r="A5869" t="s">
        <v>5343</v>
      </c>
      <c r="B5869" s="1">
        <v>1305294</v>
      </c>
      <c r="C5869" s="1">
        <v>7372</v>
      </c>
      <c r="D5869" s="2">
        <v>42426</v>
      </c>
      <c r="E5869" s="1" t="s">
        <v>18</v>
      </c>
      <c r="F5869" t="str">
        <f>HYPERLINK("http://www.sec.gov/Archives/edgar/data/1305294/0001193125-16-481915-index.html")</f>
        <v>http://www.sec.gov/Archives/edgar/data/1305294/0001193125-16-481915-index.html</v>
      </c>
    </row>
    <row r="5870" spans="1:6" x14ac:dyDescent="0.2">
      <c r="A5870" t="s">
        <v>5344</v>
      </c>
      <c r="B5870" s="1">
        <v>1308606</v>
      </c>
      <c r="C5870" s="1">
        <v>6512</v>
      </c>
      <c r="D5870" s="2">
        <v>42426</v>
      </c>
      <c r="E5870" s="1" t="s">
        <v>18</v>
      </c>
      <c r="F5870" t="str">
        <f>HYPERLINK("http://www.sec.gov/Archives/edgar/data/1308606/0001308606-16-000201-index.html")</f>
        <v>http://www.sec.gov/Archives/edgar/data/1308606/0001308606-16-000201-index.html</v>
      </c>
    </row>
    <row r="5871" spans="1:6" x14ac:dyDescent="0.2">
      <c r="A5871" t="s">
        <v>5345</v>
      </c>
      <c r="B5871" s="1">
        <v>1309108</v>
      </c>
      <c r="C5871" s="1">
        <v>7389</v>
      </c>
      <c r="D5871" s="2">
        <v>42426</v>
      </c>
      <c r="E5871" s="1" t="s">
        <v>18</v>
      </c>
      <c r="F5871" t="str">
        <f>HYPERLINK("http://www.sec.gov/Archives/edgar/data/1309108/0001309108-16-000146-index.html")</f>
        <v>http://www.sec.gov/Archives/edgar/data/1309108/0001309108-16-000146-index.html</v>
      </c>
    </row>
    <row r="5872" spans="1:6" x14ac:dyDescent="0.2">
      <c r="A5872" t="s">
        <v>5346</v>
      </c>
      <c r="B5872" s="1">
        <v>1313275</v>
      </c>
      <c r="C5872" s="1">
        <v>7374</v>
      </c>
      <c r="D5872" s="2">
        <v>42426</v>
      </c>
      <c r="E5872" s="1" t="s">
        <v>18</v>
      </c>
      <c r="F5872" t="str">
        <f>HYPERLINK("http://www.sec.gov/Archives/edgar/data/1313275/0001193125-16-482110-index.html")</f>
        <v>http://www.sec.gov/Archives/edgar/data/1313275/0001193125-16-482110-index.html</v>
      </c>
    </row>
    <row r="5873" spans="1:6" x14ac:dyDescent="0.2">
      <c r="A5873" t="s">
        <v>138</v>
      </c>
      <c r="B5873" s="1">
        <v>1313938</v>
      </c>
      <c r="C5873" s="1">
        <v>2834</v>
      </c>
      <c r="D5873" s="2">
        <v>42426</v>
      </c>
      <c r="E5873" s="1" t="s">
        <v>18</v>
      </c>
      <c r="F5873" t="str">
        <f>HYPERLINK("http://www.sec.gov/Archives/edgar/data/1313938/0001019687-16-005296-index.html")</f>
        <v>http://www.sec.gov/Archives/edgar/data/1313938/0001019687-16-005296-index.html</v>
      </c>
    </row>
    <row r="5874" spans="1:6" x14ac:dyDescent="0.2">
      <c r="A5874" t="s">
        <v>5347</v>
      </c>
      <c r="B5874" s="1">
        <v>1315061</v>
      </c>
      <c r="C5874" s="1">
        <v>1382</v>
      </c>
      <c r="D5874" s="2">
        <v>42426</v>
      </c>
      <c r="E5874" s="1" t="s">
        <v>18</v>
      </c>
      <c r="F5874" t="str">
        <f>HYPERLINK("http://www.sec.gov/Archives/edgar/data/1315061/0001214659-16-009871-index.html")</f>
        <v>http://www.sec.gov/Archives/edgar/data/1315061/0001214659-16-009871-index.html</v>
      </c>
    </row>
    <row r="5875" spans="1:6" x14ac:dyDescent="0.2">
      <c r="A5875" t="s">
        <v>5348</v>
      </c>
      <c r="B5875" s="1">
        <v>1318084</v>
      </c>
      <c r="C5875" s="1">
        <v>5141</v>
      </c>
      <c r="D5875" s="2">
        <v>42426</v>
      </c>
      <c r="E5875" s="1" t="s">
        <v>18</v>
      </c>
      <c r="F5875" t="str">
        <f>HYPERLINK("http://www.sec.gov/Archives/edgar/data/1318084/0001318084-16-000049-index.html")</f>
        <v>http://www.sec.gov/Archives/edgar/data/1318084/0001318084-16-000049-index.html</v>
      </c>
    </row>
    <row r="5876" spans="1:6" x14ac:dyDescent="0.2">
      <c r="A5876" t="s">
        <v>5349</v>
      </c>
      <c r="B5876" s="1">
        <v>1320414</v>
      </c>
      <c r="C5876" s="1">
        <v>8060</v>
      </c>
      <c r="D5876" s="2">
        <v>42426</v>
      </c>
      <c r="E5876" s="1" t="s">
        <v>18</v>
      </c>
      <c r="F5876" t="str">
        <f>HYPERLINK("http://www.sec.gov/Archives/edgar/data/1320414/0001047469-16-010467-index.html")</f>
        <v>http://www.sec.gov/Archives/edgar/data/1320414/0001047469-16-010467-index.html</v>
      </c>
    </row>
    <row r="5877" spans="1:6" x14ac:dyDescent="0.2">
      <c r="A5877" t="s">
        <v>5350</v>
      </c>
      <c r="B5877" s="1">
        <v>1325281</v>
      </c>
      <c r="C5877" s="1">
        <v>2621</v>
      </c>
      <c r="D5877" s="2">
        <v>42426</v>
      </c>
      <c r="E5877" s="1" t="s">
        <v>18</v>
      </c>
      <c r="F5877" t="str">
        <f>HYPERLINK("http://www.sec.gov/Archives/edgar/data/1325281/0001047469-16-010493-index.html")</f>
        <v>http://www.sec.gov/Archives/edgar/data/1325281/0001047469-16-010493-index.html</v>
      </c>
    </row>
    <row r="5878" spans="1:6" x14ac:dyDescent="0.2">
      <c r="A5878" t="s">
        <v>5351</v>
      </c>
      <c r="B5878" s="1">
        <v>1325703</v>
      </c>
      <c r="C5878" s="1">
        <v>1382</v>
      </c>
      <c r="D5878" s="2">
        <v>42426</v>
      </c>
      <c r="E5878" s="1" t="s">
        <v>18</v>
      </c>
      <c r="F5878" t="str">
        <f>HYPERLINK("http://www.sec.gov/Archives/edgar/data/1325703/0001214659-16-009869-index.html")</f>
        <v>http://www.sec.gov/Archives/edgar/data/1325703/0001214659-16-009869-index.html</v>
      </c>
    </row>
    <row r="5879" spans="1:6" x14ac:dyDescent="0.2">
      <c r="A5879" t="s">
        <v>5352</v>
      </c>
      <c r="B5879" s="1">
        <v>1325955</v>
      </c>
      <c r="C5879" s="1">
        <v>2911</v>
      </c>
      <c r="D5879" s="2">
        <v>42426</v>
      </c>
      <c r="E5879" s="1" t="s">
        <v>18</v>
      </c>
      <c r="F5879" t="str">
        <f>HYPERLINK("http://www.sec.gov/Archives/edgar/data/1325955/0001325955-16-000064-index.html")</f>
        <v>http://www.sec.gov/Archives/edgar/data/1325955/0001325955-16-000064-index.html</v>
      </c>
    </row>
    <row r="5880" spans="1:6" x14ac:dyDescent="0.2">
      <c r="A5880" t="s">
        <v>5353</v>
      </c>
      <c r="B5880" s="1">
        <v>1327068</v>
      </c>
      <c r="C5880" s="1">
        <v>6221</v>
      </c>
      <c r="D5880" s="2">
        <v>42426</v>
      </c>
      <c r="E5880" s="1" t="s">
        <v>18</v>
      </c>
      <c r="F5880" t="str">
        <f>HYPERLINK("http://www.sec.gov/Archives/edgar/data/1327068/0001144204-16-084495-index.html")</f>
        <v>http://www.sec.gov/Archives/edgar/data/1327068/0001144204-16-084495-index.html</v>
      </c>
    </row>
    <row r="5881" spans="1:6" x14ac:dyDescent="0.2">
      <c r="A5881" t="s">
        <v>5354</v>
      </c>
      <c r="B5881" s="1">
        <v>1331520</v>
      </c>
      <c r="C5881" s="1">
        <v>6022</v>
      </c>
      <c r="D5881" s="2">
        <v>42426</v>
      </c>
      <c r="E5881" s="1" t="s">
        <v>18</v>
      </c>
      <c r="F5881" t="str">
        <f>HYPERLINK("http://www.sec.gov/Archives/edgar/data/1331520/0001193125-16-482227-index.html")</f>
        <v>http://www.sec.gov/Archives/edgar/data/1331520/0001193125-16-482227-index.html</v>
      </c>
    </row>
    <row r="5882" spans="1:6" x14ac:dyDescent="0.2">
      <c r="A5882" t="s">
        <v>5355</v>
      </c>
      <c r="B5882" s="1">
        <v>1334478</v>
      </c>
      <c r="C5882" s="1">
        <v>7373</v>
      </c>
      <c r="D5882" s="2">
        <v>42426</v>
      </c>
      <c r="E5882" s="1" t="s">
        <v>18</v>
      </c>
      <c r="F5882" t="str">
        <f>HYPERLINK("http://www.sec.gov/Archives/edgar/data/1334478/0001193125-16-482459-index.html")</f>
        <v>http://www.sec.gov/Archives/edgar/data/1334478/0001193125-16-482459-index.html</v>
      </c>
    </row>
    <row r="5883" spans="1:6" x14ac:dyDescent="0.2">
      <c r="A5883" t="s">
        <v>5356</v>
      </c>
      <c r="B5883" s="1">
        <v>1336920</v>
      </c>
      <c r="C5883" s="1">
        <v>7373</v>
      </c>
      <c r="D5883" s="2">
        <v>42426</v>
      </c>
      <c r="E5883" s="1" t="s">
        <v>21</v>
      </c>
      <c r="F5883" t="str">
        <f>HYPERLINK("http://www.sec.gov/Archives/edgar/data/1336920/0001336920-16-000076-index.html")</f>
        <v>http://www.sec.gov/Archives/edgar/data/1336920/0001336920-16-000076-index.html</v>
      </c>
    </row>
    <row r="5884" spans="1:6" x14ac:dyDescent="0.2">
      <c r="A5884" t="s">
        <v>5357</v>
      </c>
      <c r="B5884" s="1">
        <v>13372</v>
      </c>
      <c r="C5884" s="1">
        <v>4911</v>
      </c>
      <c r="D5884" s="2">
        <v>42426</v>
      </c>
      <c r="E5884" s="1" t="s">
        <v>18</v>
      </c>
      <c r="F5884" t="str">
        <f>HYPERLINK("http://www.sec.gov/Archives/edgar/data/13372/0000072741-16-000063-index.html")</f>
        <v>http://www.sec.gov/Archives/edgar/data/13372/0000072741-16-000063-index.html</v>
      </c>
    </row>
    <row r="5885" spans="1:6" x14ac:dyDescent="0.2">
      <c r="A5885" t="s">
        <v>5358</v>
      </c>
      <c r="B5885" s="1">
        <v>1344980</v>
      </c>
      <c r="C5885" s="1">
        <v>1221</v>
      </c>
      <c r="D5885" s="2">
        <v>42426</v>
      </c>
      <c r="E5885" s="1" t="s">
        <v>18</v>
      </c>
      <c r="F5885" t="str">
        <f>HYPERLINK("http://www.sec.gov/Archives/edgar/data/1344980/0001104659-16-100443-index.html")</f>
        <v>http://www.sec.gov/Archives/edgar/data/1344980/0001104659-16-100443-index.html</v>
      </c>
    </row>
    <row r="5886" spans="1:6" x14ac:dyDescent="0.2">
      <c r="A5886" t="s">
        <v>5359</v>
      </c>
      <c r="B5886" s="1">
        <v>1348952</v>
      </c>
      <c r="C5886" s="1">
        <v>4911</v>
      </c>
      <c r="D5886" s="2">
        <v>42426</v>
      </c>
      <c r="E5886" s="1" t="s">
        <v>18</v>
      </c>
      <c r="F5886" t="str">
        <f>HYPERLINK("http://www.sec.gov/Archives/edgar/data/1348952/0000065984-16-000436-index.html")</f>
        <v>http://www.sec.gov/Archives/edgar/data/1348952/0000065984-16-000436-index.html</v>
      </c>
    </row>
    <row r="5887" spans="1:6" x14ac:dyDescent="0.2">
      <c r="A5887" t="s">
        <v>5360</v>
      </c>
      <c r="B5887" s="1">
        <v>1355096</v>
      </c>
      <c r="C5887" s="1">
        <v>5961</v>
      </c>
      <c r="D5887" s="2">
        <v>42426</v>
      </c>
      <c r="E5887" s="1" t="s">
        <v>18</v>
      </c>
      <c r="F5887" t="str">
        <f>HYPERLINK("http://www.sec.gov/Archives/edgar/data/1355096/0001558370-16-003621-index.html")</f>
        <v>http://www.sec.gov/Archives/edgar/data/1355096/0001558370-16-003621-index.html</v>
      </c>
    </row>
    <row r="5888" spans="1:6" x14ac:dyDescent="0.2">
      <c r="A5888" t="s">
        <v>5361</v>
      </c>
      <c r="B5888" s="1">
        <v>1356104</v>
      </c>
      <c r="C5888" s="1">
        <v>3674</v>
      </c>
      <c r="D5888" s="2">
        <v>42426</v>
      </c>
      <c r="E5888" s="1" t="s">
        <v>18</v>
      </c>
      <c r="F5888" t="str">
        <f>HYPERLINK("http://www.sec.gov/Archives/edgar/data/1356104/0001356104-16-000011-index.html")</f>
        <v>http://www.sec.gov/Archives/edgar/data/1356104/0001356104-16-000011-index.html</v>
      </c>
    </row>
    <row r="5889" spans="1:6" x14ac:dyDescent="0.2">
      <c r="A5889" t="s">
        <v>5362</v>
      </c>
      <c r="B5889" s="1">
        <v>1357371</v>
      </c>
      <c r="C5889" s="1">
        <v>1311</v>
      </c>
      <c r="D5889" s="2">
        <v>42426</v>
      </c>
      <c r="E5889" s="1" t="s">
        <v>18</v>
      </c>
      <c r="F5889" t="str">
        <f>HYPERLINK("http://www.sec.gov/Archives/edgar/data/1357371/0001357371-16-000312-index.html")</f>
        <v>http://www.sec.gov/Archives/edgar/data/1357371/0001357371-16-000312-index.html</v>
      </c>
    </row>
    <row r="5890" spans="1:6" x14ac:dyDescent="0.2">
      <c r="A5890" t="s">
        <v>5363</v>
      </c>
      <c r="B5890" s="1">
        <v>1357615</v>
      </c>
      <c r="C5890" s="1">
        <v>1600</v>
      </c>
      <c r="D5890" s="2">
        <v>42426</v>
      </c>
      <c r="E5890" s="1" t="s">
        <v>18</v>
      </c>
      <c r="F5890" t="str">
        <f>HYPERLINK("http://www.sec.gov/Archives/edgar/data/1357615/0001357615-16-000245-index.html")</f>
        <v>http://www.sec.gov/Archives/edgar/data/1357615/0001357615-16-000245-index.html</v>
      </c>
    </row>
    <row r="5891" spans="1:6" x14ac:dyDescent="0.2">
      <c r="A5891" t="s">
        <v>5364</v>
      </c>
      <c r="B5891" s="1">
        <v>1358831</v>
      </c>
      <c r="C5891" s="1">
        <v>1311</v>
      </c>
      <c r="D5891" s="2">
        <v>42426</v>
      </c>
      <c r="E5891" s="1" t="s">
        <v>18</v>
      </c>
      <c r="F5891" t="str">
        <f>HYPERLINK("http://www.sec.gov/Archives/edgar/data/1358831/0001358831-16-000033-index.html")</f>
        <v>http://www.sec.gov/Archives/edgar/data/1358831/0001358831-16-000033-index.html</v>
      </c>
    </row>
    <row r="5892" spans="1:6" x14ac:dyDescent="0.2">
      <c r="A5892" t="s">
        <v>5365</v>
      </c>
      <c r="B5892" s="1">
        <v>1364099</v>
      </c>
      <c r="C5892" s="1">
        <v>5160</v>
      </c>
      <c r="D5892" s="2">
        <v>42426</v>
      </c>
      <c r="E5892" s="1" t="s">
        <v>18</v>
      </c>
      <c r="F5892" t="str">
        <f>HYPERLINK("http://www.sec.gov/Archives/edgar/data/1364099/0001364099-16-000053-index.html")</f>
        <v>http://www.sec.gov/Archives/edgar/data/1364099/0001364099-16-000053-index.html</v>
      </c>
    </row>
    <row r="5893" spans="1:6" x14ac:dyDescent="0.2">
      <c r="A5893" t="s">
        <v>5366</v>
      </c>
      <c r="B5893" s="1">
        <v>1364742</v>
      </c>
      <c r="C5893" s="1">
        <v>6211</v>
      </c>
      <c r="D5893" s="2">
        <v>42426</v>
      </c>
      <c r="E5893" s="1" t="s">
        <v>18</v>
      </c>
      <c r="F5893" t="str">
        <f>HYPERLINK("http://www.sec.gov/Archives/edgar/data/1364742/0001564590-16-013511-index.html")</f>
        <v>http://www.sec.gov/Archives/edgar/data/1364742/0001564590-16-013511-index.html</v>
      </c>
    </row>
    <row r="5894" spans="1:6" x14ac:dyDescent="0.2">
      <c r="A5894" t="s">
        <v>5367</v>
      </c>
      <c r="B5894" s="1">
        <v>1364962</v>
      </c>
      <c r="C5894" s="1">
        <v>7372</v>
      </c>
      <c r="D5894" s="2">
        <v>42426</v>
      </c>
      <c r="E5894" s="1" t="s">
        <v>18</v>
      </c>
      <c r="F5894" t="str">
        <f>HYPERLINK("http://www.sec.gov/Archives/edgar/data/1364962/0001564590-16-013548-index.html")</f>
        <v>http://www.sec.gov/Archives/edgar/data/1364962/0001564590-16-013548-index.html</v>
      </c>
    </row>
    <row r="5895" spans="1:6" x14ac:dyDescent="0.2">
      <c r="A5895" t="s">
        <v>5368</v>
      </c>
      <c r="B5895" s="1">
        <v>1366868</v>
      </c>
      <c r="C5895" s="1">
        <v>4899</v>
      </c>
      <c r="D5895" s="2">
        <v>42426</v>
      </c>
      <c r="E5895" s="1" t="s">
        <v>18</v>
      </c>
      <c r="F5895" t="str">
        <f>HYPERLINK("http://www.sec.gov/Archives/edgar/data/1366868/0001366868-16-000113-index.html")</f>
        <v>http://www.sec.gov/Archives/edgar/data/1366868/0001366868-16-000113-index.html</v>
      </c>
    </row>
    <row r="5896" spans="1:6" x14ac:dyDescent="0.2">
      <c r="A5896" t="s">
        <v>5369</v>
      </c>
      <c r="B5896" s="1">
        <v>1369817</v>
      </c>
      <c r="C5896" s="1">
        <v>6331</v>
      </c>
      <c r="D5896" s="2">
        <v>42426</v>
      </c>
      <c r="E5896" s="1" t="s">
        <v>18</v>
      </c>
      <c r="F5896" t="str">
        <f>HYPERLINK("http://www.sec.gov/Archives/edgar/data/1369817/0001369817-16-000100-index.html")</f>
        <v>http://www.sec.gov/Archives/edgar/data/1369817/0001369817-16-000100-index.html</v>
      </c>
    </row>
    <row r="5897" spans="1:6" x14ac:dyDescent="0.2">
      <c r="A5897" t="s">
        <v>5370</v>
      </c>
      <c r="B5897" s="1">
        <v>1370880</v>
      </c>
      <c r="C5897" s="1">
        <v>3577</v>
      </c>
      <c r="D5897" s="2">
        <v>42426</v>
      </c>
      <c r="E5897" s="1" t="s">
        <v>18</v>
      </c>
      <c r="F5897" t="str">
        <f>HYPERLINK("http://www.sec.gov/Archives/edgar/data/1370880/0001628280-16-011848-index.html")</f>
        <v>http://www.sec.gov/Archives/edgar/data/1370880/0001628280-16-011848-index.html</v>
      </c>
    </row>
    <row r="5898" spans="1:6" x14ac:dyDescent="0.2">
      <c r="A5898" t="s">
        <v>5371</v>
      </c>
      <c r="B5898" s="1">
        <v>1372414</v>
      </c>
      <c r="C5898" s="1">
        <v>7373</v>
      </c>
      <c r="D5898" s="2">
        <v>42426</v>
      </c>
      <c r="E5898" s="1" t="s">
        <v>18</v>
      </c>
      <c r="F5898" t="str">
        <f>HYPERLINK("http://www.sec.gov/Archives/edgar/data/1372414/0001628280-16-011853-index.html")</f>
        <v>http://www.sec.gov/Archives/edgar/data/1372414/0001628280-16-011853-index.html</v>
      </c>
    </row>
    <row r="5899" spans="1:6" x14ac:dyDescent="0.2">
      <c r="A5899" t="s">
        <v>5372</v>
      </c>
      <c r="B5899" s="1">
        <v>1374535</v>
      </c>
      <c r="C5899" s="1">
        <v>3569</v>
      </c>
      <c r="D5899" s="2">
        <v>42426</v>
      </c>
      <c r="E5899" s="1" t="s">
        <v>18</v>
      </c>
      <c r="F5899" t="str">
        <f>HYPERLINK("http://www.sec.gov/Archives/edgar/data/1374535/0001374535-16-000168-index.html")</f>
        <v>http://www.sec.gov/Archives/edgar/data/1374535/0001374535-16-000168-index.html</v>
      </c>
    </row>
    <row r="5900" spans="1:6" x14ac:dyDescent="0.2">
      <c r="A5900" t="s">
        <v>5373</v>
      </c>
      <c r="B5900" s="1">
        <v>1375205</v>
      </c>
      <c r="C5900" s="1">
        <v>1040</v>
      </c>
      <c r="D5900" s="2">
        <v>42426</v>
      </c>
      <c r="E5900" s="1" t="s">
        <v>18</v>
      </c>
      <c r="F5900" t="str">
        <f>HYPERLINK("http://www.sec.gov/Archives/edgar/data/1375205/0001558370-16-003622-index.html")</f>
        <v>http://www.sec.gov/Archives/edgar/data/1375205/0001558370-16-003622-index.html</v>
      </c>
    </row>
    <row r="5901" spans="1:6" x14ac:dyDescent="0.2">
      <c r="A5901" t="s">
        <v>5374</v>
      </c>
      <c r="B5901" s="1">
        <v>1376227</v>
      </c>
      <c r="C5901" s="1">
        <v>6221</v>
      </c>
      <c r="D5901" s="2">
        <v>42426</v>
      </c>
      <c r="E5901" s="1" t="s">
        <v>18</v>
      </c>
      <c r="F5901" t="str">
        <f>HYPERLINK("http://www.sec.gov/Archives/edgar/data/1376227/0001144204-16-084496-index.html")</f>
        <v>http://www.sec.gov/Archives/edgar/data/1376227/0001144204-16-084496-index.html</v>
      </c>
    </row>
    <row r="5902" spans="1:6" x14ac:dyDescent="0.2">
      <c r="A5902" t="s">
        <v>5375</v>
      </c>
      <c r="B5902" s="1">
        <v>1377630</v>
      </c>
      <c r="C5902" s="1">
        <v>7310</v>
      </c>
      <c r="D5902" s="2">
        <v>42426</v>
      </c>
      <c r="E5902" s="1" t="s">
        <v>18</v>
      </c>
      <c r="F5902" t="str">
        <f>HYPERLINK("http://www.sec.gov/Archives/edgar/data/1377630/0001564590-16-013464-index.html")</f>
        <v>http://www.sec.gov/Archives/edgar/data/1377630/0001564590-16-013464-index.html</v>
      </c>
    </row>
    <row r="5903" spans="1:6" x14ac:dyDescent="0.2">
      <c r="A5903" t="s">
        <v>5376</v>
      </c>
      <c r="B5903" s="1">
        <v>1380509</v>
      </c>
      <c r="C5903" s="1">
        <v>6519</v>
      </c>
      <c r="D5903" s="2">
        <v>42426</v>
      </c>
      <c r="E5903" s="1" t="s">
        <v>18</v>
      </c>
      <c r="F5903" t="str">
        <f>HYPERLINK("http://www.sec.gov/Archives/edgar/data/1380509/0001193125-16-482255-index.html")</f>
        <v>http://www.sec.gov/Archives/edgar/data/1380509/0001193125-16-482255-index.html</v>
      </c>
    </row>
    <row r="5904" spans="1:6" x14ac:dyDescent="0.2">
      <c r="A5904" t="s">
        <v>5377</v>
      </c>
      <c r="B5904" s="1">
        <v>1381531</v>
      </c>
      <c r="C5904" s="1">
        <v>2621</v>
      </c>
      <c r="D5904" s="2">
        <v>42426</v>
      </c>
      <c r="E5904" s="1" t="s">
        <v>18</v>
      </c>
      <c r="F5904" t="str">
        <f>HYPERLINK("http://www.sec.gov/Archives/edgar/data/1381531/0001564590-16-013475-index.html")</f>
        <v>http://www.sec.gov/Archives/edgar/data/1381531/0001564590-16-013475-index.html</v>
      </c>
    </row>
    <row r="5905" spans="1:6" x14ac:dyDescent="0.2">
      <c r="A5905" t="s">
        <v>5378</v>
      </c>
      <c r="B5905" s="1">
        <v>1382911</v>
      </c>
      <c r="C5905" s="1">
        <v>2834</v>
      </c>
      <c r="D5905" s="2">
        <v>42426</v>
      </c>
      <c r="E5905" s="1" t="s">
        <v>18</v>
      </c>
      <c r="F5905" t="str">
        <f>HYPERLINK("http://www.sec.gov/Archives/edgar/data/1382911/0001193125-16-481707-index.html")</f>
        <v>http://www.sec.gov/Archives/edgar/data/1382911/0001193125-16-481707-index.html</v>
      </c>
    </row>
    <row r="5906" spans="1:6" x14ac:dyDescent="0.2">
      <c r="A5906" t="s">
        <v>5379</v>
      </c>
      <c r="B5906" s="1">
        <v>1384710</v>
      </c>
      <c r="C5906" s="1">
        <v>6798</v>
      </c>
      <c r="D5906" s="2">
        <v>42426</v>
      </c>
      <c r="E5906" s="1" t="s">
        <v>18</v>
      </c>
      <c r="F5906" t="str">
        <f>HYPERLINK("http://www.sec.gov/Archives/edgar/data/1384710/0001384710-16-000022-index.html")</f>
        <v>http://www.sec.gov/Archives/edgar/data/1384710/0001384710-16-000022-index.html</v>
      </c>
    </row>
    <row r="5907" spans="1:6" x14ac:dyDescent="0.2">
      <c r="A5907" t="s">
        <v>5380</v>
      </c>
      <c r="B5907" s="1">
        <v>1385292</v>
      </c>
      <c r="C5907" s="1">
        <v>7371</v>
      </c>
      <c r="D5907" s="2">
        <v>42426</v>
      </c>
      <c r="E5907" s="1" t="s">
        <v>18</v>
      </c>
      <c r="F5907" t="str">
        <f>HYPERLINK("http://www.sec.gov/Archives/edgar/data/1385292/0001193125-16-481975-index.html")</f>
        <v>http://www.sec.gov/Archives/edgar/data/1385292/0001193125-16-481975-index.html</v>
      </c>
    </row>
    <row r="5908" spans="1:6" x14ac:dyDescent="0.2">
      <c r="A5908" t="s">
        <v>5381</v>
      </c>
      <c r="B5908" s="1">
        <v>1388195</v>
      </c>
      <c r="C5908" s="1">
        <v>5912</v>
      </c>
      <c r="D5908" s="2">
        <v>42426</v>
      </c>
      <c r="E5908" s="1" t="s">
        <v>18</v>
      </c>
      <c r="F5908" t="str">
        <f>HYPERLINK("http://www.sec.gov/Archives/edgar/data/1388195/0001388195-16-000017-index.html")</f>
        <v>http://www.sec.gov/Archives/edgar/data/1388195/0001388195-16-000017-index.html</v>
      </c>
    </row>
    <row r="5909" spans="1:6" x14ac:dyDescent="0.2">
      <c r="A5909" t="s">
        <v>5382</v>
      </c>
      <c r="B5909" s="1">
        <v>1389072</v>
      </c>
      <c r="C5909" s="1">
        <v>3841</v>
      </c>
      <c r="D5909" s="2">
        <v>42426</v>
      </c>
      <c r="E5909" s="1" t="s">
        <v>18</v>
      </c>
      <c r="F5909" t="str">
        <f>HYPERLINK("http://www.sec.gov/Archives/edgar/data/1389072/0001193125-16-482324-index.html")</f>
        <v>http://www.sec.gov/Archives/edgar/data/1389072/0001193125-16-482324-index.html</v>
      </c>
    </row>
    <row r="5910" spans="1:6" x14ac:dyDescent="0.2">
      <c r="A5910" t="s">
        <v>5383</v>
      </c>
      <c r="B5910" s="1">
        <v>1390777</v>
      </c>
      <c r="C5910" s="1">
        <v>6022</v>
      </c>
      <c r="D5910" s="2">
        <v>42426</v>
      </c>
      <c r="E5910" s="1" t="s">
        <v>18</v>
      </c>
      <c r="F5910" t="str">
        <f>HYPERLINK("http://www.sec.gov/Archives/edgar/data/1390777/0001390777-16-000204-index.html")</f>
        <v>http://www.sec.gov/Archives/edgar/data/1390777/0001390777-16-000204-index.html</v>
      </c>
    </row>
    <row r="5911" spans="1:6" x14ac:dyDescent="0.2">
      <c r="A5911" t="s">
        <v>5384</v>
      </c>
      <c r="B5911" s="1">
        <v>1393818</v>
      </c>
      <c r="C5911" s="1">
        <v>6282</v>
      </c>
      <c r="D5911" s="2">
        <v>42426</v>
      </c>
      <c r="E5911" s="1" t="s">
        <v>18</v>
      </c>
      <c r="F5911" t="str">
        <f>HYPERLINK("http://www.sec.gov/Archives/edgar/data/1393818/0001193125-16-481948-index.html")</f>
        <v>http://www.sec.gov/Archives/edgar/data/1393818/0001193125-16-481948-index.html</v>
      </c>
    </row>
    <row r="5912" spans="1:6" x14ac:dyDescent="0.2">
      <c r="A5912" t="s">
        <v>5385</v>
      </c>
      <c r="B5912" s="1">
        <v>1396440</v>
      </c>
      <c r="C5912" s="1">
        <v>2834</v>
      </c>
      <c r="D5912" s="2">
        <v>42426</v>
      </c>
      <c r="E5912" s="1" t="s">
        <v>18</v>
      </c>
      <c r="F5912" t="str">
        <f>HYPERLINK("http://www.sec.gov/Archives/edgar/data/1396440/0001047469-16-010488-index.html")</f>
        <v>http://www.sec.gov/Archives/edgar/data/1396440/0001047469-16-010488-index.html</v>
      </c>
    </row>
    <row r="5913" spans="1:6" x14ac:dyDescent="0.2">
      <c r="A5913" t="s">
        <v>5386</v>
      </c>
      <c r="B5913" s="1">
        <v>1398659</v>
      </c>
      <c r="C5913" s="1">
        <v>8742</v>
      </c>
      <c r="D5913" s="2">
        <v>42426</v>
      </c>
      <c r="E5913" s="1" t="s">
        <v>18</v>
      </c>
      <c r="F5913" t="str">
        <f>HYPERLINK("http://www.sec.gov/Archives/edgar/data/1398659/0001193125-16-480871-index.html")</f>
        <v>http://www.sec.gov/Archives/edgar/data/1398659/0001193125-16-480871-index.html</v>
      </c>
    </row>
    <row r="5914" spans="1:6" x14ac:dyDescent="0.2">
      <c r="A5914" t="s">
        <v>5387</v>
      </c>
      <c r="B5914" s="1">
        <v>1401680</v>
      </c>
      <c r="C5914" s="1">
        <v>7372</v>
      </c>
      <c r="D5914" s="2">
        <v>42426</v>
      </c>
      <c r="E5914" s="1" t="s">
        <v>18</v>
      </c>
      <c r="F5914" t="str">
        <f>HYPERLINK("http://www.sec.gov/Archives/edgar/data/1401680/0001401680-16-000026-index.html")</f>
        <v>http://www.sec.gov/Archives/edgar/data/1401680/0001401680-16-000026-index.html</v>
      </c>
    </row>
    <row r="5915" spans="1:6" x14ac:dyDescent="0.2">
      <c r="A5915" t="s">
        <v>5388</v>
      </c>
      <c r="B5915" s="1">
        <v>1403528</v>
      </c>
      <c r="C5915" s="1">
        <v>6282</v>
      </c>
      <c r="D5915" s="2">
        <v>42426</v>
      </c>
      <c r="E5915" s="1" t="s">
        <v>18</v>
      </c>
      <c r="F5915" t="str">
        <f>HYPERLINK("http://www.sec.gov/Archives/edgar/data/1403528/0001403528-16-000045-index.html")</f>
        <v>http://www.sec.gov/Archives/edgar/data/1403528/0001403528-16-000045-index.html</v>
      </c>
    </row>
    <row r="5916" spans="1:6" x14ac:dyDescent="0.2">
      <c r="A5916" t="s">
        <v>5389</v>
      </c>
      <c r="B5916" s="1">
        <v>1404912</v>
      </c>
      <c r="C5916" s="1">
        <v>6282</v>
      </c>
      <c r="D5916" s="2">
        <v>42426</v>
      </c>
      <c r="E5916" s="1" t="s">
        <v>18</v>
      </c>
      <c r="F5916" t="str">
        <f>HYPERLINK("http://www.sec.gov/Archives/edgar/data/1404912/0001404912-16-000009-index.html")</f>
        <v>http://www.sec.gov/Archives/edgar/data/1404912/0001404912-16-000009-index.html</v>
      </c>
    </row>
    <row r="5917" spans="1:6" x14ac:dyDescent="0.2">
      <c r="A5917" t="s">
        <v>5390</v>
      </c>
      <c r="B5917" s="1">
        <v>1406666</v>
      </c>
      <c r="C5917" s="1">
        <v>4899</v>
      </c>
      <c r="D5917" s="2">
        <v>42426</v>
      </c>
      <c r="E5917" s="1" t="s">
        <v>18</v>
      </c>
      <c r="F5917" t="str">
        <f>HYPERLINK("http://www.sec.gov/Archives/edgar/data/1406666/0001406666-16-000041-index.html")</f>
        <v>http://www.sec.gov/Archives/edgar/data/1406666/0001406666-16-000041-index.html</v>
      </c>
    </row>
    <row r="5918" spans="1:6" x14ac:dyDescent="0.2">
      <c r="A5918" t="s">
        <v>5391</v>
      </c>
      <c r="B5918" s="1">
        <v>1408198</v>
      </c>
      <c r="C5918" s="1">
        <v>7389</v>
      </c>
      <c r="D5918" s="2">
        <v>42426</v>
      </c>
      <c r="E5918" s="1" t="s">
        <v>18</v>
      </c>
      <c r="F5918" t="str">
        <f>HYPERLINK("http://www.sec.gov/Archives/edgar/data/1408198/0001193125-16-482334-index.html")</f>
        <v>http://www.sec.gov/Archives/edgar/data/1408198/0001193125-16-482334-index.html</v>
      </c>
    </row>
    <row r="5919" spans="1:6" x14ac:dyDescent="0.2">
      <c r="A5919" t="s">
        <v>5392</v>
      </c>
      <c r="B5919" s="1">
        <v>1410939</v>
      </c>
      <c r="C5919" s="1">
        <v>2834</v>
      </c>
      <c r="D5919" s="2">
        <v>42426</v>
      </c>
      <c r="E5919" s="1" t="s">
        <v>18</v>
      </c>
      <c r="F5919" t="str">
        <f>HYPERLINK("http://www.sec.gov/Archives/edgar/data/1410939/0001047469-16-010519-index.html")</f>
        <v>http://www.sec.gov/Archives/edgar/data/1410939/0001047469-16-010519-index.html</v>
      </c>
    </row>
    <row r="5920" spans="1:6" x14ac:dyDescent="0.2">
      <c r="A5920" t="s">
        <v>5393</v>
      </c>
      <c r="B5920" s="1">
        <v>1411906</v>
      </c>
      <c r="C5920" s="1">
        <v>2834</v>
      </c>
      <c r="D5920" s="2">
        <v>42426</v>
      </c>
      <c r="E5920" s="1" t="s">
        <v>18</v>
      </c>
      <c r="F5920" t="str">
        <f>HYPERLINK("http://www.sec.gov/Archives/edgar/data/1411906/0001193125-16-479780-index.html")</f>
        <v>http://www.sec.gov/Archives/edgar/data/1411906/0001193125-16-479780-index.html</v>
      </c>
    </row>
    <row r="5921" spans="1:6" x14ac:dyDescent="0.2">
      <c r="A5921" t="s">
        <v>5394</v>
      </c>
      <c r="B5921" s="1">
        <v>1426945</v>
      </c>
      <c r="C5921" s="1">
        <v>4731</v>
      </c>
      <c r="D5921" s="2">
        <v>42426</v>
      </c>
      <c r="E5921" s="1" t="s">
        <v>18</v>
      </c>
      <c r="F5921" t="str">
        <f>HYPERLINK("http://www.sec.gov/Archives/edgar/data/1426945/0001426945-16-000016-index.html")</f>
        <v>http://www.sec.gov/Archives/edgar/data/1426945/0001426945-16-000016-index.html</v>
      </c>
    </row>
    <row r="5922" spans="1:6" x14ac:dyDescent="0.2">
      <c r="A5922" t="s">
        <v>5395</v>
      </c>
      <c r="B5922" s="1">
        <v>1427437</v>
      </c>
      <c r="C5922" s="1">
        <v>4911</v>
      </c>
      <c r="D5922" s="2">
        <v>42426</v>
      </c>
      <c r="E5922" s="1" t="s">
        <v>18</v>
      </c>
      <c r="F5922" t="str">
        <f>HYPERLINK("http://www.sec.gov/Archives/edgar/data/1427437/0000065984-16-000436-index.html")</f>
        <v>http://www.sec.gov/Archives/edgar/data/1427437/0000065984-16-000436-index.html</v>
      </c>
    </row>
    <row r="5923" spans="1:6" x14ac:dyDescent="0.2">
      <c r="A5923" t="s">
        <v>5396</v>
      </c>
      <c r="B5923" s="1">
        <v>1428875</v>
      </c>
      <c r="C5923" s="1">
        <v>8741</v>
      </c>
      <c r="D5923" s="2">
        <v>42426</v>
      </c>
      <c r="E5923" s="1" t="s">
        <v>18</v>
      </c>
      <c r="F5923" t="str">
        <f>HYPERLINK("http://www.sec.gov/Archives/edgar/data/1428875/0001428875-16-000152-index.html")</f>
        <v>http://www.sec.gov/Archives/edgar/data/1428875/0001428875-16-000152-index.html</v>
      </c>
    </row>
    <row r="5924" spans="1:6" x14ac:dyDescent="0.2">
      <c r="A5924" t="s">
        <v>5397</v>
      </c>
      <c r="B5924" s="1">
        <v>1434070</v>
      </c>
      <c r="C5924" s="1">
        <v>1381</v>
      </c>
      <c r="D5924" s="2">
        <v>42426</v>
      </c>
      <c r="E5924" s="1" t="s">
        <v>18</v>
      </c>
      <c r="F5924" t="str">
        <f>HYPERLINK("http://www.sec.gov/Archives/edgar/data/1434070/0001214659-16-009870-index.html")</f>
        <v>http://www.sec.gov/Archives/edgar/data/1434070/0001214659-16-009870-index.html</v>
      </c>
    </row>
    <row r="5925" spans="1:6" x14ac:dyDescent="0.2">
      <c r="A5925" t="s">
        <v>4307</v>
      </c>
      <c r="B5925" s="1">
        <v>1434620</v>
      </c>
      <c r="C5925" s="1">
        <v>6531</v>
      </c>
      <c r="D5925" s="2">
        <v>42426</v>
      </c>
      <c r="E5925" s="1" t="s">
        <v>18</v>
      </c>
      <c r="F5925" t="str">
        <f>HYPERLINK("http://www.sec.gov/Archives/edgar/data/1434620/0001047469-16-010516-index.html")</f>
        <v>http://www.sec.gov/Archives/edgar/data/1434620/0001047469-16-010516-index.html</v>
      </c>
    </row>
    <row r="5926" spans="1:6" x14ac:dyDescent="0.2">
      <c r="A5926" t="s">
        <v>5398</v>
      </c>
      <c r="B5926" s="1">
        <v>1437491</v>
      </c>
      <c r="C5926" s="1">
        <v>3674</v>
      </c>
      <c r="D5926" s="2">
        <v>42426</v>
      </c>
      <c r="E5926" s="1" t="s">
        <v>18</v>
      </c>
      <c r="F5926" t="str">
        <f>HYPERLINK("http://www.sec.gov/Archives/edgar/data/1437491/0001013762-16-001343-index.html")</f>
        <v>http://www.sec.gov/Archives/edgar/data/1437491/0001013762-16-001343-index.html</v>
      </c>
    </row>
    <row r="5927" spans="1:6" x14ac:dyDescent="0.2">
      <c r="A5927" t="s">
        <v>5399</v>
      </c>
      <c r="B5927" s="1">
        <v>1438533</v>
      </c>
      <c r="C5927" s="1">
        <v>2834</v>
      </c>
      <c r="D5927" s="2">
        <v>42426</v>
      </c>
      <c r="E5927" s="1" t="s">
        <v>18</v>
      </c>
      <c r="F5927" t="str">
        <f>HYPERLINK("http://www.sec.gov/Archives/edgar/data/1438533/0001628280-16-011857-index.html")</f>
        <v>http://www.sec.gov/Archives/edgar/data/1438533/0001628280-16-011857-index.html</v>
      </c>
    </row>
    <row r="5928" spans="1:6" x14ac:dyDescent="0.2">
      <c r="A5928" t="s">
        <v>5400</v>
      </c>
      <c r="B5928" s="1">
        <v>1439222</v>
      </c>
      <c r="C5928" s="1">
        <v>2834</v>
      </c>
      <c r="D5928" s="2">
        <v>42426</v>
      </c>
      <c r="E5928" s="1" t="s">
        <v>18</v>
      </c>
      <c r="F5928" t="str">
        <f>HYPERLINK("http://www.sec.gov/Archives/edgar/data/1439222/0001193125-16-481973-index.html")</f>
        <v>http://www.sec.gov/Archives/edgar/data/1439222/0001193125-16-481973-index.html</v>
      </c>
    </row>
    <row r="5929" spans="1:6" x14ac:dyDescent="0.2">
      <c r="A5929" t="s">
        <v>5401</v>
      </c>
      <c r="B5929" s="1">
        <v>1443669</v>
      </c>
      <c r="C5929" s="1">
        <v>3440</v>
      </c>
      <c r="D5929" s="2">
        <v>42426</v>
      </c>
      <c r="E5929" s="1" t="s">
        <v>18</v>
      </c>
      <c r="F5929" t="str">
        <f>HYPERLINK("http://www.sec.gov/Archives/edgar/data/1443669/0001437749-16-026114-index.html")</f>
        <v>http://www.sec.gov/Archives/edgar/data/1443669/0001437749-16-026114-index.html</v>
      </c>
    </row>
    <row r="5930" spans="1:6" x14ac:dyDescent="0.2">
      <c r="A5930" t="s">
        <v>2305</v>
      </c>
      <c r="B5930" s="1">
        <v>1444145</v>
      </c>
      <c r="C5930" s="1">
        <v>6770</v>
      </c>
      <c r="D5930" s="2">
        <v>42426</v>
      </c>
      <c r="E5930" s="1" t="s">
        <v>18</v>
      </c>
      <c r="F5930" t="str">
        <f>HYPERLINK("http://www.sec.gov/Archives/edgar/data/1444145/0001554795-16-000545-index.html")</f>
        <v>http://www.sec.gov/Archives/edgar/data/1444145/0001554795-16-000545-index.html</v>
      </c>
    </row>
    <row r="5931" spans="1:6" x14ac:dyDescent="0.2">
      <c r="A5931" t="s">
        <v>5402</v>
      </c>
      <c r="B5931" s="1">
        <v>1463172</v>
      </c>
      <c r="C5931" s="1">
        <v>7374</v>
      </c>
      <c r="D5931" s="2">
        <v>42426</v>
      </c>
      <c r="E5931" s="1" t="s">
        <v>18</v>
      </c>
      <c r="F5931" t="str">
        <f>HYPERLINK("http://www.sec.gov/Archives/edgar/data/1463172/0001564590-16-013588-index.html")</f>
        <v>http://www.sec.gov/Archives/edgar/data/1463172/0001564590-16-013588-index.html</v>
      </c>
    </row>
    <row r="5932" spans="1:6" x14ac:dyDescent="0.2">
      <c r="A5932" t="s">
        <v>5403</v>
      </c>
      <c r="B5932" s="1">
        <v>1465740</v>
      </c>
      <c r="C5932" s="1">
        <v>6798</v>
      </c>
      <c r="D5932" s="2">
        <v>42426</v>
      </c>
      <c r="E5932" s="1" t="s">
        <v>18</v>
      </c>
      <c r="F5932" t="str">
        <f>HYPERLINK("http://www.sec.gov/Archives/edgar/data/1465740/0001465740-16-000143-index.html")</f>
        <v>http://www.sec.gov/Archives/edgar/data/1465740/0001465740-16-000143-index.html</v>
      </c>
    </row>
    <row r="5933" spans="1:6" x14ac:dyDescent="0.2">
      <c r="A5933" t="s">
        <v>5404</v>
      </c>
      <c r="B5933" s="1">
        <v>1467760</v>
      </c>
      <c r="C5933" s="1">
        <v>6798</v>
      </c>
      <c r="D5933" s="2">
        <v>42426</v>
      </c>
      <c r="E5933" s="1" t="s">
        <v>18</v>
      </c>
      <c r="F5933" t="str">
        <f>HYPERLINK("http://www.sec.gov/Archives/edgar/data/1467760/0001467760-16-000015-index.html")</f>
        <v>http://www.sec.gov/Archives/edgar/data/1467760/0001467760-16-000015-index.html</v>
      </c>
    </row>
    <row r="5934" spans="1:6" x14ac:dyDescent="0.2">
      <c r="A5934" t="s">
        <v>5405</v>
      </c>
      <c r="B5934" s="1">
        <v>1474464</v>
      </c>
      <c r="C5934" s="1">
        <v>6798</v>
      </c>
      <c r="D5934" s="2">
        <v>42426</v>
      </c>
      <c r="E5934" s="1" t="s">
        <v>18</v>
      </c>
      <c r="F5934" t="str">
        <f>HYPERLINK("http://www.sec.gov/Archives/edgar/data/1474464/0001474464-16-000032-index.html")</f>
        <v>http://www.sec.gov/Archives/edgar/data/1474464/0001474464-16-000032-index.html</v>
      </c>
    </row>
    <row r="5935" spans="1:6" x14ac:dyDescent="0.2">
      <c r="A5935" t="s">
        <v>5406</v>
      </c>
      <c r="B5935" s="1">
        <v>1474735</v>
      </c>
      <c r="C5935" s="1">
        <v>3621</v>
      </c>
      <c r="D5935" s="2">
        <v>42426</v>
      </c>
      <c r="E5935" s="1" t="s">
        <v>18</v>
      </c>
      <c r="F5935" t="str">
        <f>HYPERLINK("http://www.sec.gov/Archives/edgar/data/1474735/0001437749-16-026187-index.html")</f>
        <v>http://www.sec.gov/Archives/edgar/data/1474735/0001437749-16-026187-index.html</v>
      </c>
    </row>
    <row r="5936" spans="1:6" x14ac:dyDescent="0.2">
      <c r="A5936" t="s">
        <v>5407</v>
      </c>
      <c r="B5936" s="1">
        <v>1476651</v>
      </c>
      <c r="C5936" s="1">
        <v>6021</v>
      </c>
      <c r="D5936" s="2">
        <v>42426</v>
      </c>
      <c r="E5936" s="1" t="s">
        <v>18</v>
      </c>
      <c r="F5936" t="str">
        <f>HYPERLINK("http://www.sec.gov/Archives/edgar/data/1476651/0001193125-16-481006-index.html")</f>
        <v>http://www.sec.gov/Archives/edgar/data/1476651/0001193125-16-481006-index.html</v>
      </c>
    </row>
    <row r="5937" spans="1:6" x14ac:dyDescent="0.2">
      <c r="A5937" t="s">
        <v>5408</v>
      </c>
      <c r="B5937" s="1">
        <v>1479750</v>
      </c>
      <c r="C5937" s="1">
        <v>6021</v>
      </c>
      <c r="D5937" s="2">
        <v>42426</v>
      </c>
      <c r="E5937" s="1" t="s">
        <v>18</v>
      </c>
      <c r="F5937" t="str">
        <f>HYPERLINK("http://www.sec.gov/Archives/edgar/data/1479750/0001628280-16-011856-index.html")</f>
        <v>http://www.sec.gov/Archives/edgar/data/1479750/0001628280-16-011856-index.html</v>
      </c>
    </row>
    <row r="5938" spans="1:6" x14ac:dyDescent="0.2">
      <c r="A5938" t="s">
        <v>5409</v>
      </c>
      <c r="B5938" s="1">
        <v>1482512</v>
      </c>
      <c r="C5938" s="1">
        <v>6500</v>
      </c>
      <c r="D5938" s="2">
        <v>42426</v>
      </c>
      <c r="E5938" s="1" t="s">
        <v>18</v>
      </c>
      <c r="F5938" t="str">
        <f>HYPERLINK("http://www.sec.gov/Archives/edgar/data/1482512/0001482512-16-000149-index.html")</f>
        <v>http://www.sec.gov/Archives/edgar/data/1482512/0001482512-16-000149-index.html</v>
      </c>
    </row>
    <row r="5939" spans="1:6" x14ac:dyDescent="0.2">
      <c r="A5939" t="s">
        <v>5410</v>
      </c>
      <c r="B5939" s="1">
        <v>1483096</v>
      </c>
      <c r="C5939" s="1">
        <v>4922</v>
      </c>
      <c r="D5939" s="2">
        <v>42426</v>
      </c>
      <c r="E5939" s="1" t="s">
        <v>18</v>
      </c>
      <c r="F5939" t="str">
        <f>HYPERLINK("http://www.sec.gov/Archives/edgar/data/1483096/0001483096-16-000021-index.html")</f>
        <v>http://www.sec.gov/Archives/edgar/data/1483096/0001483096-16-000021-index.html</v>
      </c>
    </row>
    <row r="5940" spans="1:6" x14ac:dyDescent="0.2">
      <c r="A5940" t="s">
        <v>5411</v>
      </c>
      <c r="B5940" s="1">
        <v>1487052</v>
      </c>
      <c r="C5940" s="1">
        <v>6035</v>
      </c>
      <c r="D5940" s="2">
        <v>42426</v>
      </c>
      <c r="E5940" s="1" t="s">
        <v>18</v>
      </c>
      <c r="F5940" t="str">
        <f>HYPERLINK("http://www.sec.gov/Archives/edgar/data/1487052/0001487052-16-000113-index.html")</f>
        <v>http://www.sec.gov/Archives/edgar/data/1487052/0001487052-16-000113-index.html</v>
      </c>
    </row>
    <row r="5941" spans="1:6" x14ac:dyDescent="0.2">
      <c r="A5941" t="s">
        <v>5412</v>
      </c>
      <c r="B5941" s="1">
        <v>1488813</v>
      </c>
      <c r="C5941" s="1">
        <v>6022</v>
      </c>
      <c r="D5941" s="2">
        <v>42426</v>
      </c>
      <c r="E5941" s="1" t="s">
        <v>18</v>
      </c>
      <c r="F5941" t="str">
        <f>HYPERLINK("http://www.sec.gov/Archives/edgar/data/1488813/0001628280-16-011747-index.html")</f>
        <v>http://www.sec.gov/Archives/edgar/data/1488813/0001628280-16-011747-index.html</v>
      </c>
    </row>
    <row r="5942" spans="1:6" x14ac:dyDescent="0.2">
      <c r="A5942" t="s">
        <v>1351</v>
      </c>
      <c r="B5942" s="1">
        <v>1489136</v>
      </c>
      <c r="C5942" s="1">
        <v>1389</v>
      </c>
      <c r="D5942" s="2">
        <v>42426</v>
      </c>
      <c r="E5942" s="1" t="s">
        <v>18</v>
      </c>
      <c r="F5942" t="str">
        <f>HYPERLINK("http://www.sec.gov/Archives/edgar/data/1489136/0001489136-16-000031-index.html")</f>
        <v>http://www.sec.gov/Archives/edgar/data/1489136/0001489136-16-000031-index.html</v>
      </c>
    </row>
    <row r="5943" spans="1:6" x14ac:dyDescent="0.2">
      <c r="A5943" t="s">
        <v>5413</v>
      </c>
      <c r="B5943" s="1">
        <v>1496264</v>
      </c>
      <c r="C5943" s="1">
        <v>6500</v>
      </c>
      <c r="D5943" s="2">
        <v>42426</v>
      </c>
      <c r="E5943" s="1" t="s">
        <v>18</v>
      </c>
      <c r="F5943" t="str">
        <f>HYPERLINK("http://www.sec.gov/Archives/edgar/data/1496264/0001482512-16-000149-index.html")</f>
        <v>http://www.sec.gov/Archives/edgar/data/1496264/0001482512-16-000149-index.html</v>
      </c>
    </row>
    <row r="5944" spans="1:6" x14ac:dyDescent="0.2">
      <c r="A5944" t="s">
        <v>5414</v>
      </c>
      <c r="B5944" s="1">
        <v>1497275</v>
      </c>
      <c r="C5944" s="1">
        <v>6022</v>
      </c>
      <c r="D5944" s="2">
        <v>42426</v>
      </c>
      <c r="E5944" s="1" t="s">
        <v>18</v>
      </c>
      <c r="F5944" t="str">
        <f>HYPERLINK("http://www.sec.gov/Archives/edgar/data/1497275/0001497275-16-000165-index.html")</f>
        <v>http://www.sec.gov/Archives/edgar/data/1497275/0001497275-16-000165-index.html</v>
      </c>
    </row>
    <row r="5945" spans="1:6" x14ac:dyDescent="0.2">
      <c r="A5945" t="s">
        <v>5415</v>
      </c>
      <c r="B5945" s="1">
        <v>1497770</v>
      </c>
      <c r="C5945" s="1">
        <v>6199</v>
      </c>
      <c r="D5945" s="2">
        <v>42426</v>
      </c>
      <c r="E5945" s="1" t="s">
        <v>18</v>
      </c>
      <c r="F5945" t="str">
        <f>HYPERLINK("http://www.sec.gov/Archives/edgar/data/1497770/0001558370-16-003573-index.html")</f>
        <v>http://www.sec.gov/Archives/edgar/data/1497770/0001558370-16-003573-index.html</v>
      </c>
    </row>
    <row r="5946" spans="1:6" x14ac:dyDescent="0.2">
      <c r="A5946" t="s">
        <v>5416</v>
      </c>
      <c r="B5946" s="1">
        <v>1498021</v>
      </c>
      <c r="C5946" s="1">
        <v>8000</v>
      </c>
      <c r="D5946" s="2">
        <v>42426</v>
      </c>
      <c r="E5946" s="1" t="s">
        <v>18</v>
      </c>
      <c r="F5946" t="str">
        <f>HYPERLINK("http://www.sec.gov/Archives/edgar/data/1498021/0001437749-16-026176-index.html")</f>
        <v>http://www.sec.gov/Archives/edgar/data/1498021/0001437749-16-026176-index.html</v>
      </c>
    </row>
    <row r="5947" spans="1:6" x14ac:dyDescent="0.2">
      <c r="A5947" t="s">
        <v>5417</v>
      </c>
      <c r="B5947" s="1">
        <v>1499832</v>
      </c>
      <c r="C5947" s="1">
        <v>4832</v>
      </c>
      <c r="D5947" s="2">
        <v>42426</v>
      </c>
      <c r="E5947" s="1" t="s">
        <v>18</v>
      </c>
      <c r="F5947" t="str">
        <f>HYPERLINK("http://www.sec.gov/Archives/edgar/data/1499832/0001499832-16-000089-index.html")</f>
        <v>http://www.sec.gov/Archives/edgar/data/1499832/0001499832-16-000089-index.html</v>
      </c>
    </row>
    <row r="5948" spans="1:6" x14ac:dyDescent="0.2">
      <c r="A5948" t="s">
        <v>5418</v>
      </c>
      <c r="B5948" s="1">
        <v>1504008</v>
      </c>
      <c r="C5948" s="1">
        <v>6035</v>
      </c>
      <c r="D5948" s="2">
        <v>42426</v>
      </c>
      <c r="E5948" s="1" t="s">
        <v>18</v>
      </c>
      <c r="F5948" t="str">
        <f>HYPERLINK("http://www.sec.gov/Archives/edgar/data/1504008/0001504008-16-000053-index.html")</f>
        <v>http://www.sec.gov/Archives/edgar/data/1504008/0001504008-16-000053-index.html</v>
      </c>
    </row>
    <row r="5949" spans="1:6" x14ac:dyDescent="0.2">
      <c r="A5949" t="s">
        <v>5419</v>
      </c>
      <c r="B5949" s="1">
        <v>1509432</v>
      </c>
      <c r="C5949" s="1">
        <v>6794</v>
      </c>
      <c r="D5949" s="2">
        <v>42426</v>
      </c>
      <c r="E5949" s="1" t="s">
        <v>18</v>
      </c>
      <c r="F5949" t="str">
        <f>HYPERLINK("http://www.sec.gov/Archives/edgar/data/1509432/0001509432-16-000146-index.html")</f>
        <v>http://www.sec.gov/Archives/edgar/data/1509432/0001509432-16-000146-index.html</v>
      </c>
    </row>
    <row r="5950" spans="1:6" x14ac:dyDescent="0.2">
      <c r="A5950" t="s">
        <v>5420</v>
      </c>
      <c r="B5950" s="1">
        <v>1510295</v>
      </c>
      <c r="C5950" s="1">
        <v>2911</v>
      </c>
      <c r="D5950" s="2">
        <v>42426</v>
      </c>
      <c r="E5950" s="1" t="s">
        <v>18</v>
      </c>
      <c r="F5950" t="str">
        <f>HYPERLINK("http://www.sec.gov/Archives/edgar/data/1510295/0001510295-16-000078-index.html")</f>
        <v>http://www.sec.gov/Archives/edgar/data/1510295/0001510295-16-000078-index.html</v>
      </c>
    </row>
    <row r="5951" spans="1:6" x14ac:dyDescent="0.2">
      <c r="A5951" t="s">
        <v>5421</v>
      </c>
      <c r="B5951" s="1">
        <v>1514281</v>
      </c>
      <c r="C5951" s="1">
        <v>6798</v>
      </c>
      <c r="D5951" s="2">
        <v>42426</v>
      </c>
      <c r="E5951" s="1" t="s">
        <v>18</v>
      </c>
      <c r="F5951" t="str">
        <f>HYPERLINK("http://www.sec.gov/Archives/edgar/data/1514281/0001144204-16-084692-index.html")</f>
        <v>http://www.sec.gov/Archives/edgar/data/1514281/0001144204-16-084692-index.html</v>
      </c>
    </row>
    <row r="5952" spans="1:6" x14ac:dyDescent="0.2">
      <c r="A5952" t="s">
        <v>5422</v>
      </c>
      <c r="B5952" s="1">
        <v>1515673</v>
      </c>
      <c r="C5952" s="1">
        <v>2834</v>
      </c>
      <c r="D5952" s="2">
        <v>42426</v>
      </c>
      <c r="E5952" s="1" t="s">
        <v>18</v>
      </c>
      <c r="F5952" t="str">
        <f>HYPERLINK("http://www.sec.gov/Archives/edgar/data/1515673/0001564590-16-013430-index.html")</f>
        <v>http://www.sec.gov/Archives/edgar/data/1515673/0001564590-16-013430-index.html</v>
      </c>
    </row>
    <row r="5953" spans="1:6" x14ac:dyDescent="0.2">
      <c r="A5953" t="s">
        <v>5423</v>
      </c>
      <c r="B5953" s="1">
        <v>1520697</v>
      </c>
      <c r="C5953" s="1">
        <v>8093</v>
      </c>
      <c r="D5953" s="2">
        <v>42426</v>
      </c>
      <c r="E5953" s="1" t="s">
        <v>18</v>
      </c>
      <c r="F5953" t="str">
        <f>HYPERLINK("http://www.sec.gov/Archives/edgar/data/1520697/0001193125-16-478707-index.html")</f>
        <v>http://www.sec.gov/Archives/edgar/data/1520697/0001193125-16-478707-index.html</v>
      </c>
    </row>
    <row r="5954" spans="1:6" x14ac:dyDescent="0.2">
      <c r="A5954" t="s">
        <v>5424</v>
      </c>
      <c r="B5954" s="1">
        <v>1524472</v>
      </c>
      <c r="C5954" s="1">
        <v>3561</v>
      </c>
      <c r="D5954" s="2">
        <v>42426</v>
      </c>
      <c r="E5954" s="1" t="s">
        <v>18</v>
      </c>
      <c r="F5954" t="str">
        <f>HYPERLINK("http://www.sec.gov/Archives/edgar/data/1524472/0001524472-16-000027-index.html")</f>
        <v>http://www.sec.gov/Archives/edgar/data/1524472/0001524472-16-000027-index.html</v>
      </c>
    </row>
    <row r="5955" spans="1:6" x14ac:dyDescent="0.2">
      <c r="A5955" t="s">
        <v>5028</v>
      </c>
      <c r="B5955" s="1">
        <v>1525221</v>
      </c>
      <c r="C5955" s="1">
        <v>4522</v>
      </c>
      <c r="D5955" s="2">
        <v>42426</v>
      </c>
      <c r="E5955" s="1" t="s">
        <v>18</v>
      </c>
      <c r="F5955" t="str">
        <f>HYPERLINK("http://www.sec.gov/Archives/edgar/data/1525221/0001525221-16-000083-index.html")</f>
        <v>http://www.sec.gov/Archives/edgar/data/1525221/0001525221-16-000083-index.html</v>
      </c>
    </row>
    <row r="5956" spans="1:6" x14ac:dyDescent="0.2">
      <c r="A5956" t="s">
        <v>5425</v>
      </c>
      <c r="B5956" s="1">
        <v>1526160</v>
      </c>
      <c r="C5956" s="1">
        <v>7372</v>
      </c>
      <c r="D5956" s="2">
        <v>42426</v>
      </c>
      <c r="E5956" s="1" t="s">
        <v>18</v>
      </c>
      <c r="F5956" t="str">
        <f>HYPERLINK("http://www.sec.gov/Archives/edgar/data/1526160/0001193125-16-481972-index.html")</f>
        <v>http://www.sec.gov/Archives/edgar/data/1526160/0001193125-16-481972-index.html</v>
      </c>
    </row>
    <row r="5957" spans="1:6" x14ac:dyDescent="0.2">
      <c r="A5957" t="s">
        <v>5426</v>
      </c>
      <c r="B5957" s="1">
        <v>1527622</v>
      </c>
      <c r="C5957" s="1">
        <v>4610</v>
      </c>
      <c r="D5957" s="2">
        <v>42426</v>
      </c>
      <c r="E5957" s="1" t="s">
        <v>18</v>
      </c>
      <c r="F5957" t="str">
        <f>HYPERLINK("http://www.sec.gov/Archives/edgar/data/1527622/0001527622-16-000031-index.html")</f>
        <v>http://www.sec.gov/Archives/edgar/data/1527622/0001527622-16-000031-index.html</v>
      </c>
    </row>
    <row r="5958" spans="1:6" x14ac:dyDescent="0.2">
      <c r="A5958" t="s">
        <v>5427</v>
      </c>
      <c r="B5958" s="1">
        <v>1533454</v>
      </c>
      <c r="C5958" s="1">
        <v>2911</v>
      </c>
      <c r="D5958" s="2">
        <v>42426</v>
      </c>
      <c r="E5958" s="1" t="s">
        <v>18</v>
      </c>
      <c r="F5958" t="str">
        <f>HYPERLINK("http://www.sec.gov/Archives/edgar/data/1533454/0001628280-16-011855-index.html")</f>
        <v>http://www.sec.gov/Archives/edgar/data/1533454/0001628280-16-011855-index.html</v>
      </c>
    </row>
    <row r="5959" spans="1:6" x14ac:dyDescent="0.2">
      <c r="A5959" t="s">
        <v>5428</v>
      </c>
      <c r="B5959" s="1">
        <v>1539638</v>
      </c>
      <c r="C5959" s="1">
        <v>6022</v>
      </c>
      <c r="D5959" s="2">
        <v>42426</v>
      </c>
      <c r="E5959" s="1" t="s">
        <v>18</v>
      </c>
      <c r="F5959" t="str">
        <f>HYPERLINK("http://www.sec.gov/Archives/edgar/data/1539638/0001564590-16-013584-index.html")</f>
        <v>http://www.sec.gov/Archives/edgar/data/1539638/0001564590-16-013584-index.html</v>
      </c>
    </row>
    <row r="5960" spans="1:6" x14ac:dyDescent="0.2">
      <c r="A5960" t="s">
        <v>5429</v>
      </c>
      <c r="B5960" s="1">
        <v>1541401</v>
      </c>
      <c r="C5960" s="1">
        <v>6798</v>
      </c>
      <c r="D5960" s="2">
        <v>42426</v>
      </c>
      <c r="E5960" s="1" t="s">
        <v>18</v>
      </c>
      <c r="F5960" t="str">
        <f>HYPERLINK("http://www.sec.gov/Archives/edgar/data/1541401/0001628280-16-011758-index.html")</f>
        <v>http://www.sec.gov/Archives/edgar/data/1541401/0001628280-16-011758-index.html</v>
      </c>
    </row>
    <row r="5961" spans="1:6" x14ac:dyDescent="0.2">
      <c r="A5961" t="s">
        <v>5430</v>
      </c>
      <c r="B5961" s="1">
        <v>1544227</v>
      </c>
      <c r="C5961" s="1">
        <v>2834</v>
      </c>
      <c r="D5961" s="2">
        <v>42426</v>
      </c>
      <c r="E5961" s="1" t="s">
        <v>18</v>
      </c>
      <c r="F5961" t="str">
        <f>HYPERLINK("http://www.sec.gov/Archives/edgar/data/1544227/0001544227-16-000008-index.html")</f>
        <v>http://www.sec.gov/Archives/edgar/data/1544227/0001544227-16-000008-index.html</v>
      </c>
    </row>
    <row r="5962" spans="1:6" x14ac:dyDescent="0.2">
      <c r="A5962" t="s">
        <v>5431</v>
      </c>
      <c r="B5962" s="1">
        <v>1552000</v>
      </c>
      <c r="C5962" s="1">
        <v>4610</v>
      </c>
      <c r="D5962" s="2">
        <v>42426</v>
      </c>
      <c r="E5962" s="1" t="s">
        <v>18</v>
      </c>
      <c r="F5962" t="str">
        <f>HYPERLINK("http://www.sec.gov/Archives/edgar/data/1552000/0001552000-16-000136-index.html")</f>
        <v>http://www.sec.gov/Archives/edgar/data/1552000/0001552000-16-000136-index.html</v>
      </c>
    </row>
    <row r="5963" spans="1:6" x14ac:dyDescent="0.2">
      <c r="A5963" t="s">
        <v>5432</v>
      </c>
      <c r="B5963" s="1">
        <v>1552275</v>
      </c>
      <c r="C5963" s="1">
        <v>5172</v>
      </c>
      <c r="D5963" s="2">
        <v>42426</v>
      </c>
      <c r="E5963" s="1" t="s">
        <v>18</v>
      </c>
      <c r="F5963" t="str">
        <f>HYPERLINK("http://www.sec.gov/Archives/edgar/data/1552275/0001564590-16-013451-index.html")</f>
        <v>http://www.sec.gov/Archives/edgar/data/1552275/0001564590-16-013451-index.html</v>
      </c>
    </row>
    <row r="5964" spans="1:6" x14ac:dyDescent="0.2">
      <c r="A5964" t="s">
        <v>5433</v>
      </c>
      <c r="B5964" s="1">
        <v>1552800</v>
      </c>
      <c r="C5964" s="1">
        <v>5700</v>
      </c>
      <c r="D5964" s="2">
        <v>42426</v>
      </c>
      <c r="E5964" s="1" t="s">
        <v>18</v>
      </c>
      <c r="F5964" t="str">
        <f>HYPERLINK("http://www.sec.gov/Archives/edgar/data/1552800/0001437749-16-026191-index.html")</f>
        <v>http://www.sec.gov/Archives/edgar/data/1552800/0001437749-16-026191-index.html</v>
      </c>
    </row>
    <row r="5965" spans="1:6" x14ac:dyDescent="0.2">
      <c r="A5965" t="s">
        <v>5434</v>
      </c>
      <c r="B5965" s="1">
        <v>1553023</v>
      </c>
      <c r="C5965" s="1">
        <v>6798</v>
      </c>
      <c r="D5965" s="2">
        <v>42426</v>
      </c>
      <c r="E5965" s="1" t="s">
        <v>18</v>
      </c>
      <c r="F5965" t="str">
        <f>HYPERLINK("http://www.sec.gov/Archives/edgar/data/1553023/0001553023-16-000152-index.html")</f>
        <v>http://www.sec.gov/Archives/edgar/data/1553023/0001553023-16-000152-index.html</v>
      </c>
    </row>
    <row r="5966" spans="1:6" x14ac:dyDescent="0.2">
      <c r="A5966" t="s">
        <v>5435</v>
      </c>
      <c r="B5966" s="1">
        <v>1553079</v>
      </c>
      <c r="C5966" s="1">
        <v>6798</v>
      </c>
      <c r="D5966" s="2">
        <v>42426</v>
      </c>
      <c r="E5966" s="1" t="s">
        <v>18</v>
      </c>
      <c r="F5966" t="str">
        <f>HYPERLINK("http://www.sec.gov/Archives/edgar/data/1553079/0001628280-16-011762-index.html")</f>
        <v>http://www.sec.gov/Archives/edgar/data/1553079/0001628280-16-011762-index.html</v>
      </c>
    </row>
    <row r="5967" spans="1:6" x14ac:dyDescent="0.2">
      <c r="A5967" t="s">
        <v>5436</v>
      </c>
      <c r="B5967" s="1">
        <v>1554859</v>
      </c>
      <c r="C5967" s="1">
        <v>3845</v>
      </c>
      <c r="D5967" s="2">
        <v>42426</v>
      </c>
      <c r="E5967" s="1" t="s">
        <v>18</v>
      </c>
      <c r="F5967" t="str">
        <f>HYPERLINK("http://www.sec.gov/Archives/edgar/data/1554859/0001571049-16-012229-index.html")</f>
        <v>http://www.sec.gov/Archives/edgar/data/1554859/0001571049-16-012229-index.html</v>
      </c>
    </row>
    <row r="5968" spans="1:6" x14ac:dyDescent="0.2">
      <c r="A5968" t="s">
        <v>5437</v>
      </c>
      <c r="B5968" s="1">
        <v>1556593</v>
      </c>
      <c r="C5968" s="1">
        <v>6798</v>
      </c>
      <c r="D5968" s="2">
        <v>42426</v>
      </c>
      <c r="E5968" s="1" t="s">
        <v>18</v>
      </c>
      <c r="F5968" t="str">
        <f>HYPERLINK("http://www.sec.gov/Archives/edgar/data/1556593/0001556593-16-000025-index.html")</f>
        <v>http://www.sec.gov/Archives/edgar/data/1556593/0001556593-16-000025-index.html</v>
      </c>
    </row>
    <row r="5969" spans="1:6" x14ac:dyDescent="0.2">
      <c r="A5969" t="s">
        <v>5438</v>
      </c>
      <c r="B5969" s="1">
        <v>1556766</v>
      </c>
      <c r="C5969" s="1">
        <v>2911</v>
      </c>
      <c r="D5969" s="2">
        <v>42426</v>
      </c>
      <c r="E5969" s="1" t="s">
        <v>18</v>
      </c>
      <c r="F5969" t="str">
        <f>HYPERLINK("http://www.sec.gov/Archives/edgar/data/1556766/0001556766-16-000035-index.html")</f>
        <v>http://www.sec.gov/Archives/edgar/data/1556766/0001556766-16-000035-index.html</v>
      </c>
    </row>
    <row r="5970" spans="1:6" x14ac:dyDescent="0.2">
      <c r="A5970" t="s">
        <v>5439</v>
      </c>
      <c r="B5970" s="1">
        <v>1560385</v>
      </c>
      <c r="C5970" s="1">
        <v>4833</v>
      </c>
      <c r="D5970" s="2">
        <v>42426</v>
      </c>
      <c r="E5970" s="1" t="s">
        <v>18</v>
      </c>
      <c r="F5970" t="str">
        <f>HYPERLINK("http://www.sec.gov/Archives/edgar/data/1560385/0001558370-16-003609-index.html")</f>
        <v>http://www.sec.gov/Archives/edgar/data/1560385/0001558370-16-003609-index.html</v>
      </c>
    </row>
    <row r="5971" spans="1:6" x14ac:dyDescent="0.2">
      <c r="A5971" t="s">
        <v>5440</v>
      </c>
      <c r="B5971" s="1">
        <v>15615</v>
      </c>
      <c r="C5971" s="1">
        <v>1623</v>
      </c>
      <c r="D5971" s="2">
        <v>42426</v>
      </c>
      <c r="E5971" s="1" t="s">
        <v>18</v>
      </c>
      <c r="F5971" t="str">
        <f>HYPERLINK("http://www.sec.gov/Archives/edgar/data/15615/0000015615-16-000093-index.html")</f>
        <v>http://www.sec.gov/Archives/edgar/data/15615/0000015615-16-000093-index.html</v>
      </c>
    </row>
    <row r="5972" spans="1:6" x14ac:dyDescent="0.2">
      <c r="A5972" t="s">
        <v>5441</v>
      </c>
      <c r="B5972" s="1">
        <v>1561680</v>
      </c>
      <c r="C5972" s="1">
        <v>1531</v>
      </c>
      <c r="D5972" s="2">
        <v>42426</v>
      </c>
      <c r="E5972" s="1" t="s">
        <v>18</v>
      </c>
      <c r="F5972" t="str">
        <f>HYPERLINK("http://www.sec.gov/Archives/edgar/data/1561680/0001564590-16-013570-index.html")</f>
        <v>http://www.sec.gov/Archives/edgar/data/1561680/0001564590-16-013570-index.html</v>
      </c>
    </row>
    <row r="5973" spans="1:6" x14ac:dyDescent="0.2">
      <c r="A5973" t="s">
        <v>5442</v>
      </c>
      <c r="B5973" s="1">
        <v>1562401</v>
      </c>
      <c r="C5973" s="1">
        <v>6798</v>
      </c>
      <c r="D5973" s="2">
        <v>42426</v>
      </c>
      <c r="E5973" s="1" t="s">
        <v>18</v>
      </c>
      <c r="F5973" t="str">
        <f>HYPERLINK("http://www.sec.gov/Archives/edgar/data/1562401/0001562401-16-000057-index.html")</f>
        <v>http://www.sec.gov/Archives/edgar/data/1562401/0001562401-16-000057-index.html</v>
      </c>
    </row>
    <row r="5974" spans="1:6" x14ac:dyDescent="0.2">
      <c r="A5974" t="s">
        <v>5443</v>
      </c>
      <c r="B5974" s="1">
        <v>1564902</v>
      </c>
      <c r="C5974" s="1">
        <v>7990</v>
      </c>
      <c r="D5974" s="2">
        <v>42426</v>
      </c>
      <c r="E5974" s="1" t="s">
        <v>18</v>
      </c>
      <c r="F5974" t="str">
        <f>HYPERLINK("http://www.sec.gov/Archives/edgar/data/1564902/0001564590-16-013463-index.html")</f>
        <v>http://www.sec.gov/Archives/edgar/data/1564902/0001564590-16-013463-index.html</v>
      </c>
    </row>
    <row r="5975" spans="1:6" x14ac:dyDescent="0.2">
      <c r="A5975" t="s">
        <v>5444</v>
      </c>
      <c r="B5975" s="1">
        <v>1573516</v>
      </c>
      <c r="C5975" s="1">
        <v>5500</v>
      </c>
      <c r="D5975" s="2">
        <v>42426</v>
      </c>
      <c r="E5975" s="1" t="s">
        <v>18</v>
      </c>
      <c r="F5975" t="str">
        <f>HYPERLINK("http://www.sec.gov/Archives/edgar/data/1573516/0001573516-16-000051-index.html")</f>
        <v>http://www.sec.gov/Archives/edgar/data/1573516/0001573516-16-000051-index.html</v>
      </c>
    </row>
    <row r="5976" spans="1:6" x14ac:dyDescent="0.2">
      <c r="A5976" t="s">
        <v>5445</v>
      </c>
      <c r="B5976" s="1">
        <v>1574596</v>
      </c>
      <c r="C5976" s="1">
        <v>1531</v>
      </c>
      <c r="D5976" s="2">
        <v>42426</v>
      </c>
      <c r="E5976" s="1" t="s">
        <v>18</v>
      </c>
      <c r="F5976" t="str">
        <f>HYPERLINK("http://www.sec.gov/Archives/edgar/data/1574596/0001574596-16-000124-index.html")</f>
        <v>http://www.sec.gov/Archives/edgar/data/1574596/0001574596-16-000124-index.html</v>
      </c>
    </row>
    <row r="5977" spans="1:6" x14ac:dyDescent="0.2">
      <c r="A5977" t="s">
        <v>5446</v>
      </c>
      <c r="B5977" s="1">
        <v>1576018</v>
      </c>
      <c r="C5977" s="1">
        <v>6331</v>
      </c>
      <c r="D5977" s="2">
        <v>42426</v>
      </c>
      <c r="E5977" s="1" t="s">
        <v>18</v>
      </c>
      <c r="F5977" t="str">
        <f>HYPERLINK("http://www.sec.gov/Archives/edgar/data/1576018/0001576018-16-000075-index.html")</f>
        <v>http://www.sec.gov/Archives/edgar/data/1576018/0001576018-16-000075-index.html</v>
      </c>
    </row>
    <row r="5978" spans="1:6" x14ac:dyDescent="0.2">
      <c r="A5978" t="s">
        <v>5447</v>
      </c>
      <c r="B5978" s="1">
        <v>1578845</v>
      </c>
      <c r="C5978" s="1">
        <v>2834</v>
      </c>
      <c r="D5978" s="2">
        <v>42426</v>
      </c>
      <c r="E5978" s="1" t="s">
        <v>18</v>
      </c>
      <c r="F5978" t="str">
        <f>HYPERLINK("http://www.sec.gov/Archives/edgar/data/1578845/0001564590-16-013478-index.html")</f>
        <v>http://www.sec.gov/Archives/edgar/data/1578845/0001564590-16-013478-index.html</v>
      </c>
    </row>
    <row r="5979" spans="1:6" x14ac:dyDescent="0.2">
      <c r="A5979" t="s">
        <v>5448</v>
      </c>
      <c r="B5979" s="1">
        <v>1579241</v>
      </c>
      <c r="C5979" s="1">
        <v>7381</v>
      </c>
      <c r="D5979" s="2">
        <v>42426</v>
      </c>
      <c r="E5979" s="1" t="s">
        <v>18</v>
      </c>
      <c r="F5979" t="str">
        <f>HYPERLINK("http://www.sec.gov/Archives/edgar/data/1579241/0001579241-16-000056-index.html")</f>
        <v>http://www.sec.gov/Archives/edgar/data/1579241/0001579241-16-000056-index.html</v>
      </c>
    </row>
    <row r="5980" spans="1:6" x14ac:dyDescent="0.2">
      <c r="A5980" t="s">
        <v>5449</v>
      </c>
      <c r="B5980" s="1">
        <v>1581091</v>
      </c>
      <c r="C5980" s="1">
        <v>6531</v>
      </c>
      <c r="D5980" s="2">
        <v>42426</v>
      </c>
      <c r="E5980" s="1" t="s">
        <v>18</v>
      </c>
      <c r="F5980" t="str">
        <f>HYPERLINK("http://www.sec.gov/Archives/edgar/data/1581091/0001558370-16-003588-index.html")</f>
        <v>http://www.sec.gov/Archives/edgar/data/1581091/0001558370-16-003588-index.html</v>
      </c>
    </row>
    <row r="5981" spans="1:6" x14ac:dyDescent="0.2">
      <c r="A5981" t="s">
        <v>5450</v>
      </c>
      <c r="B5981" s="1">
        <v>1581776</v>
      </c>
      <c r="C5981" s="1">
        <v>6798</v>
      </c>
      <c r="D5981" s="2">
        <v>42426</v>
      </c>
      <c r="E5981" s="1" t="s">
        <v>18</v>
      </c>
      <c r="F5981" t="str">
        <f>HYPERLINK("http://www.sec.gov/Archives/edgar/data/1581776/0000912595-16-000032-index.html")</f>
        <v>http://www.sec.gov/Archives/edgar/data/1581776/0000912595-16-000032-index.html</v>
      </c>
    </row>
    <row r="5982" spans="1:6" x14ac:dyDescent="0.2">
      <c r="A5982" t="s">
        <v>5451</v>
      </c>
      <c r="B5982" s="1">
        <v>1581908</v>
      </c>
      <c r="C5982" s="1">
        <v>4610</v>
      </c>
      <c r="D5982" s="2">
        <v>42426</v>
      </c>
      <c r="E5982" s="1" t="s">
        <v>18</v>
      </c>
      <c r="F5982" t="str">
        <f>HYPERLINK("http://www.sec.gov/Archives/edgar/data/1581908/0001581908-16-000067-index.html")</f>
        <v>http://www.sec.gov/Archives/edgar/data/1581908/0001581908-16-000067-index.html</v>
      </c>
    </row>
    <row r="5983" spans="1:6" x14ac:dyDescent="0.2">
      <c r="A5983" t="s">
        <v>5452</v>
      </c>
      <c r="B5983" s="1">
        <v>1583103</v>
      </c>
      <c r="C5983" s="1">
        <v>4610</v>
      </c>
      <c r="D5983" s="2">
        <v>42426</v>
      </c>
      <c r="E5983" s="1" t="s">
        <v>18</v>
      </c>
      <c r="F5983" t="str">
        <f>HYPERLINK("http://www.sec.gov/Archives/edgar/data/1583103/0001583103-16-000046-index.html")</f>
        <v>http://www.sec.gov/Archives/edgar/data/1583103/0001583103-16-000046-index.html</v>
      </c>
    </row>
    <row r="5984" spans="1:6" x14ac:dyDescent="0.2">
      <c r="A5984" t="s">
        <v>5453</v>
      </c>
      <c r="B5984" s="1">
        <v>1585689</v>
      </c>
      <c r="C5984" s="1">
        <v>7011</v>
      </c>
      <c r="D5984" s="2">
        <v>42426</v>
      </c>
      <c r="E5984" s="1" t="s">
        <v>18</v>
      </c>
      <c r="F5984" t="str">
        <f>HYPERLINK("http://www.sec.gov/Archives/edgar/data/1585689/0001585689-16-000161-index.html")</f>
        <v>http://www.sec.gov/Archives/edgar/data/1585689/0001585689-16-000161-index.html</v>
      </c>
    </row>
    <row r="5985" spans="1:6" x14ac:dyDescent="0.2">
      <c r="A5985" t="s">
        <v>5454</v>
      </c>
      <c r="B5985" s="1">
        <v>1590584</v>
      </c>
      <c r="C5985" s="1">
        <v>7000</v>
      </c>
      <c r="D5985" s="2">
        <v>42426</v>
      </c>
      <c r="E5985" s="1" t="s">
        <v>18</v>
      </c>
      <c r="F5985" t="str">
        <f>HYPERLINK("http://www.sec.gov/Archives/edgar/data/1590584/0001437749-16-026172-index.html")</f>
        <v>http://www.sec.gov/Archives/edgar/data/1590584/0001437749-16-026172-index.html</v>
      </c>
    </row>
    <row r="5986" spans="1:6" x14ac:dyDescent="0.2">
      <c r="A5986" t="s">
        <v>5455</v>
      </c>
      <c r="B5986" s="1">
        <v>1594109</v>
      </c>
      <c r="C5986" s="1">
        <v>7389</v>
      </c>
      <c r="D5986" s="2">
        <v>42426</v>
      </c>
      <c r="E5986" s="1" t="s">
        <v>18</v>
      </c>
      <c r="F5986" t="str">
        <f>HYPERLINK("http://www.sec.gov/Archives/edgar/data/1594109/0001564590-16-013426-index.html")</f>
        <v>http://www.sec.gov/Archives/edgar/data/1594109/0001564590-16-013426-index.html</v>
      </c>
    </row>
    <row r="5987" spans="1:6" x14ac:dyDescent="0.2">
      <c r="A5987" t="s">
        <v>5456</v>
      </c>
      <c r="B5987" s="1">
        <v>1597672</v>
      </c>
      <c r="C5987" s="1">
        <v>2820</v>
      </c>
      <c r="D5987" s="2">
        <v>42426</v>
      </c>
      <c r="E5987" s="1" t="s">
        <v>18</v>
      </c>
      <c r="F5987" t="str">
        <f>HYPERLINK("http://www.sec.gov/Archives/edgar/data/1597672/0001597672-16-000125-index.html")</f>
        <v>http://www.sec.gov/Archives/edgar/data/1597672/0001597672-16-000125-index.html</v>
      </c>
    </row>
    <row r="5988" spans="1:6" x14ac:dyDescent="0.2">
      <c r="A5988" t="s">
        <v>5457</v>
      </c>
      <c r="B5988" s="1">
        <v>1599750</v>
      </c>
      <c r="C5988" s="1">
        <v>1311</v>
      </c>
      <c r="D5988" s="2">
        <v>42426</v>
      </c>
      <c r="E5988" s="1" t="s">
        <v>18</v>
      </c>
      <c r="F5988" t="str">
        <f>HYPERLINK("http://www.sec.gov/Archives/edgar/data/1599750/0001047469-16-010520-index.html")</f>
        <v>http://www.sec.gov/Archives/edgar/data/1599750/0001047469-16-010520-index.html</v>
      </c>
    </row>
    <row r="5989" spans="1:6" x14ac:dyDescent="0.2">
      <c r="A5989" t="s">
        <v>5458</v>
      </c>
      <c r="B5989" s="1">
        <v>1603286</v>
      </c>
      <c r="C5989" s="1">
        <v>4922</v>
      </c>
      <c r="D5989" s="2">
        <v>42426</v>
      </c>
      <c r="E5989" s="1" t="s">
        <v>18</v>
      </c>
      <c r="F5989" t="str">
        <f>HYPERLINK("http://www.sec.gov/Archives/edgar/data/1603286/0001193125-16-480864-index.html")</f>
        <v>http://www.sec.gov/Archives/edgar/data/1603286/0001193125-16-480864-index.html</v>
      </c>
    </row>
    <row r="5990" spans="1:6" x14ac:dyDescent="0.2">
      <c r="A5990" t="s">
        <v>5459</v>
      </c>
      <c r="B5990" s="1">
        <v>1603291</v>
      </c>
      <c r="C5990" s="1">
        <v>4923</v>
      </c>
      <c r="D5990" s="2">
        <v>42426</v>
      </c>
      <c r="E5990" s="1" t="s">
        <v>18</v>
      </c>
      <c r="F5990" t="str">
        <f>HYPERLINK("http://www.sec.gov/Archives/edgar/data/1603291/0001193125-16-480850-index.html")</f>
        <v>http://www.sec.gov/Archives/edgar/data/1603291/0001193125-16-480850-index.html</v>
      </c>
    </row>
    <row r="5991" spans="1:6" x14ac:dyDescent="0.2">
      <c r="A5991" t="s">
        <v>5460</v>
      </c>
      <c r="B5991" s="1">
        <v>1610114</v>
      </c>
      <c r="C5991" s="1">
        <v>6798</v>
      </c>
      <c r="D5991" s="2">
        <v>42426</v>
      </c>
      <c r="E5991" s="1" t="s">
        <v>18</v>
      </c>
      <c r="F5991" t="str">
        <f>HYPERLINK("http://www.sec.gov/Archives/edgar/data/1610114/0001610114-16-000009-index.html")</f>
        <v>http://www.sec.gov/Archives/edgar/data/1610114/0001610114-16-000009-index.html</v>
      </c>
    </row>
    <row r="5992" spans="1:6" x14ac:dyDescent="0.2">
      <c r="A5992" t="s">
        <v>5461</v>
      </c>
      <c r="B5992" s="1">
        <v>1615418</v>
      </c>
      <c r="C5992" s="1">
        <v>6036</v>
      </c>
      <c r="D5992" s="2">
        <v>42426</v>
      </c>
      <c r="E5992" s="1" t="s">
        <v>18</v>
      </c>
      <c r="F5992" t="str">
        <f>HYPERLINK("http://www.sec.gov/Archives/edgar/data/1615418/0001104659-16-100432-index.html")</f>
        <v>http://www.sec.gov/Archives/edgar/data/1615418/0001104659-16-100432-index.html</v>
      </c>
    </row>
    <row r="5993" spans="1:6" x14ac:dyDescent="0.2">
      <c r="A5993" t="s">
        <v>5462</v>
      </c>
      <c r="B5993" s="1">
        <v>1617798</v>
      </c>
      <c r="C5993" s="1">
        <v>4922</v>
      </c>
      <c r="D5993" s="2">
        <v>42426</v>
      </c>
      <c r="E5993" s="1" t="s">
        <v>18</v>
      </c>
      <c r="F5993" t="str">
        <f>HYPERLINK("http://www.sec.gov/Archives/edgar/data/1617798/0001617798-16-000046-index.html")</f>
        <v>http://www.sec.gov/Archives/edgar/data/1617798/0001617798-16-000046-index.html</v>
      </c>
    </row>
    <row r="5994" spans="1:6" x14ac:dyDescent="0.2">
      <c r="A5994" t="s">
        <v>5463</v>
      </c>
      <c r="B5994" s="1">
        <v>1618755</v>
      </c>
      <c r="C5994" s="1">
        <v>5812</v>
      </c>
      <c r="D5994" s="2">
        <v>42426</v>
      </c>
      <c r="E5994" s="1" t="s">
        <v>18</v>
      </c>
      <c r="F5994" t="str">
        <f>HYPERLINK("http://www.sec.gov/Archives/edgar/data/1618755/0001193125-16-481442-index.html")</f>
        <v>http://www.sec.gov/Archives/edgar/data/1618755/0001193125-16-481442-index.html</v>
      </c>
    </row>
    <row r="5995" spans="1:6" x14ac:dyDescent="0.2">
      <c r="A5995" t="s">
        <v>5464</v>
      </c>
      <c r="B5995" s="1">
        <v>1618756</v>
      </c>
      <c r="C5995" s="1">
        <v>5812</v>
      </c>
      <c r="D5995" s="2">
        <v>42426</v>
      </c>
      <c r="E5995" s="1" t="s">
        <v>18</v>
      </c>
      <c r="F5995" t="str">
        <f>HYPERLINK("http://www.sec.gov/Archives/edgar/data/1618756/0001193125-16-481509-index.html")</f>
        <v>http://www.sec.gov/Archives/edgar/data/1618756/0001193125-16-481509-index.html</v>
      </c>
    </row>
    <row r="5996" spans="1:6" x14ac:dyDescent="0.2">
      <c r="A5996" t="s">
        <v>5465</v>
      </c>
      <c r="B5996" s="1">
        <v>1619954</v>
      </c>
      <c r="C5996" s="1">
        <v>7374</v>
      </c>
      <c r="D5996" s="2">
        <v>42426</v>
      </c>
      <c r="E5996" s="1" t="s">
        <v>42</v>
      </c>
      <c r="F5996" t="str">
        <f>HYPERLINK("http://www.sec.gov/Archives/edgar/data/1619954/0001047469-16-010511-index.html")</f>
        <v>http://www.sec.gov/Archives/edgar/data/1619954/0001047469-16-010511-index.html</v>
      </c>
    </row>
    <row r="5997" spans="1:6" x14ac:dyDescent="0.2">
      <c r="A5997" t="s">
        <v>5465</v>
      </c>
      <c r="B5997" s="1">
        <v>1619954</v>
      </c>
      <c r="C5997" s="1">
        <v>7374</v>
      </c>
      <c r="D5997" s="2">
        <v>42426</v>
      </c>
      <c r="E5997" s="1" t="s">
        <v>18</v>
      </c>
      <c r="F5997" t="str">
        <f>HYPERLINK("http://www.sec.gov/Archives/edgar/data/1619954/0001047469-16-010478-index.html")</f>
        <v>http://www.sec.gov/Archives/edgar/data/1619954/0001047469-16-010478-index.html</v>
      </c>
    </row>
    <row r="5998" spans="1:6" x14ac:dyDescent="0.2">
      <c r="A5998" t="s">
        <v>5466</v>
      </c>
      <c r="B5998" s="1">
        <v>1620602</v>
      </c>
      <c r="C5998" s="1">
        <v>2834</v>
      </c>
      <c r="D5998" s="2">
        <v>42426</v>
      </c>
      <c r="E5998" s="1" t="s">
        <v>18</v>
      </c>
      <c r="F5998" t="str">
        <f>HYPERLINK("http://www.sec.gov/Archives/edgar/data/1620602/0001564590-16-013478-index.html")</f>
        <v>http://www.sec.gov/Archives/edgar/data/1620602/0001564590-16-013478-index.html</v>
      </c>
    </row>
    <row r="5999" spans="1:6" x14ac:dyDescent="0.2">
      <c r="A5999" t="s">
        <v>5467</v>
      </c>
      <c r="B5999" s="1">
        <v>1627014</v>
      </c>
      <c r="C5999" s="1">
        <v>7372</v>
      </c>
      <c r="D5999" s="2">
        <v>42426</v>
      </c>
      <c r="E5999" s="1" t="s">
        <v>18</v>
      </c>
      <c r="F5999" t="str">
        <f>HYPERLINK("http://www.sec.gov/Archives/edgar/data/1627014/0001627014-16-000037-index.html")</f>
        <v>http://www.sec.gov/Archives/edgar/data/1627014/0001627014-16-000037-index.html</v>
      </c>
    </row>
    <row r="6000" spans="1:6" x14ac:dyDescent="0.2">
      <c r="A6000" t="s">
        <v>5468</v>
      </c>
      <c r="B6000" s="1">
        <v>1631569</v>
      </c>
      <c r="C6000" s="1">
        <v>6798</v>
      </c>
      <c r="D6000" s="2">
        <v>42426</v>
      </c>
      <c r="E6000" s="1" t="s">
        <v>18</v>
      </c>
      <c r="F6000" t="str">
        <f>HYPERLINK("http://www.sec.gov/Archives/edgar/data/1631569/0001631569-16-000032-index.html")</f>
        <v>http://www.sec.gov/Archives/edgar/data/1631569/0001631569-16-000032-index.html</v>
      </c>
    </row>
    <row r="6001" spans="1:6" x14ac:dyDescent="0.2">
      <c r="A6001" t="s">
        <v>5469</v>
      </c>
      <c r="B6001" s="1">
        <v>1635881</v>
      </c>
      <c r="C6001" s="1">
        <v>7359</v>
      </c>
      <c r="D6001" s="2">
        <v>42426</v>
      </c>
      <c r="E6001" s="1" t="s">
        <v>18</v>
      </c>
      <c r="F6001" t="str">
        <f>HYPERLINK("http://www.sec.gov/Archives/edgar/data/1635881/0001635881-16-000054-index.html")</f>
        <v>http://www.sec.gov/Archives/edgar/data/1635881/0001635881-16-000054-index.html</v>
      </c>
    </row>
    <row r="6002" spans="1:6" x14ac:dyDescent="0.2">
      <c r="A6002" t="s">
        <v>5470</v>
      </c>
      <c r="B6002" s="1">
        <v>1636315</v>
      </c>
      <c r="C6002" s="1">
        <v>6798</v>
      </c>
      <c r="D6002" s="2">
        <v>42426</v>
      </c>
      <c r="E6002" s="1" t="s">
        <v>18</v>
      </c>
      <c r="F6002" t="str">
        <f>HYPERLINK("http://www.sec.gov/Archives/edgar/data/1636315/0001286043-16-000131-index.html")</f>
        <v>http://www.sec.gov/Archives/edgar/data/1636315/0001286043-16-000131-index.html</v>
      </c>
    </row>
    <row r="6003" spans="1:6" x14ac:dyDescent="0.2">
      <c r="A6003" t="s">
        <v>5471</v>
      </c>
      <c r="B6003" s="1">
        <v>1652101</v>
      </c>
      <c r="C6003" s="1">
        <v>6770</v>
      </c>
      <c r="D6003" s="2">
        <v>42426</v>
      </c>
      <c r="E6003" s="1" t="s">
        <v>18</v>
      </c>
      <c r="F6003" t="str">
        <f>HYPERLINK("http://www.sec.gov/Archives/edgar/data/1652101/0001615774-16-004335-index.html")</f>
        <v>http://www.sec.gov/Archives/edgar/data/1652101/0001615774-16-004335-index.html</v>
      </c>
    </row>
    <row r="6004" spans="1:6" x14ac:dyDescent="0.2">
      <c r="A6004" t="s">
        <v>5472</v>
      </c>
      <c r="B6004" s="1">
        <v>18654</v>
      </c>
      <c r="C6004" s="1">
        <v>4931</v>
      </c>
      <c r="D6004" s="2">
        <v>42426</v>
      </c>
      <c r="E6004" s="1" t="s">
        <v>18</v>
      </c>
      <c r="F6004" t="str">
        <f>HYPERLINK("http://www.sec.gov/Archives/edgar/data/18654/0001002910-16-000205-index.html")</f>
        <v>http://www.sec.gov/Archives/edgar/data/18654/0001002910-16-000205-index.html</v>
      </c>
    </row>
    <row r="6005" spans="1:6" x14ac:dyDescent="0.2">
      <c r="A6005" t="s">
        <v>5473</v>
      </c>
      <c r="B6005" s="1">
        <v>18672</v>
      </c>
      <c r="C6005" s="1">
        <v>4911</v>
      </c>
      <c r="D6005" s="2">
        <v>42426</v>
      </c>
      <c r="E6005" s="1" t="s">
        <v>18</v>
      </c>
      <c r="F6005" t="str">
        <f>HYPERLINK("http://www.sec.gov/Archives/edgar/data/18672/0001089819-16-000071-index.html")</f>
        <v>http://www.sec.gov/Archives/edgar/data/18672/0001089819-16-000071-index.html</v>
      </c>
    </row>
    <row r="6006" spans="1:6" x14ac:dyDescent="0.2">
      <c r="A6006" t="s">
        <v>5474</v>
      </c>
      <c r="B6006" s="1">
        <v>19584</v>
      </c>
      <c r="C6006" s="1">
        <v>8082</v>
      </c>
      <c r="D6006" s="2">
        <v>42426</v>
      </c>
      <c r="E6006" s="1" t="s">
        <v>18</v>
      </c>
      <c r="F6006" t="str">
        <f>HYPERLINK("http://www.sec.gov/Archives/edgar/data/19584/0001157523-16-004755-index.html")</f>
        <v>http://www.sec.gov/Archives/edgar/data/19584/0001157523-16-004755-index.html</v>
      </c>
    </row>
    <row r="6007" spans="1:6" x14ac:dyDescent="0.2">
      <c r="A6007" t="s">
        <v>5475</v>
      </c>
      <c r="B6007" s="1">
        <v>19612</v>
      </c>
      <c r="C6007" s="1">
        <v>6022</v>
      </c>
      <c r="D6007" s="2">
        <v>42426</v>
      </c>
      <c r="E6007" s="1" t="s">
        <v>18</v>
      </c>
      <c r="F6007" t="str">
        <f>HYPERLINK("http://www.sec.gov/Archives/edgar/data/19612/0000019612-16-000101-index.html")</f>
        <v>http://www.sec.gov/Archives/edgar/data/19612/0000019612-16-000101-index.html</v>
      </c>
    </row>
    <row r="6008" spans="1:6" x14ac:dyDescent="0.2">
      <c r="A6008" t="s">
        <v>5476</v>
      </c>
      <c r="B6008" s="1">
        <v>202584</v>
      </c>
      <c r="C6008" s="1">
        <v>4911</v>
      </c>
      <c r="D6008" s="2">
        <v>42426</v>
      </c>
      <c r="E6008" s="1" t="s">
        <v>18</v>
      </c>
      <c r="F6008" t="str">
        <f>HYPERLINK("http://www.sec.gov/Archives/edgar/data/202584/0000065984-16-000436-index.html")</f>
        <v>http://www.sec.gov/Archives/edgar/data/202584/0000065984-16-000436-index.html</v>
      </c>
    </row>
    <row r="6009" spans="1:6" x14ac:dyDescent="0.2">
      <c r="A6009" t="s">
        <v>5477</v>
      </c>
      <c r="B6009" s="1">
        <v>20286</v>
      </c>
      <c r="C6009" s="1">
        <v>6331</v>
      </c>
      <c r="D6009" s="2">
        <v>42426</v>
      </c>
      <c r="E6009" s="1" t="s">
        <v>18</v>
      </c>
      <c r="F6009" t="str">
        <f>HYPERLINK("http://www.sec.gov/Archives/edgar/data/20286/0000020286-16-000055-index.html")</f>
        <v>http://www.sec.gov/Archives/edgar/data/20286/0000020286-16-000055-index.html</v>
      </c>
    </row>
    <row r="6010" spans="1:6" x14ac:dyDescent="0.2">
      <c r="A6010" t="s">
        <v>5478</v>
      </c>
      <c r="B6010" s="1">
        <v>203596</v>
      </c>
      <c r="C6010" s="1">
        <v>6021</v>
      </c>
      <c r="D6010" s="2">
        <v>42426</v>
      </c>
      <c r="E6010" s="1" t="s">
        <v>18</v>
      </c>
      <c r="F6010" t="str">
        <f>HYPERLINK("http://www.sec.gov/Archives/edgar/data/203596/0001193125-16-482126-index.html")</f>
        <v>http://www.sec.gov/Archives/edgar/data/203596/0001193125-16-482126-index.html</v>
      </c>
    </row>
    <row r="6011" spans="1:6" x14ac:dyDescent="0.2">
      <c r="A6011" t="s">
        <v>5479</v>
      </c>
      <c r="B6011" s="1">
        <v>225648</v>
      </c>
      <c r="C6011" s="1">
        <v>4991</v>
      </c>
      <c r="D6011" s="2">
        <v>42426</v>
      </c>
      <c r="E6011" s="1" t="s">
        <v>18</v>
      </c>
      <c r="F6011" t="str">
        <f>HYPERLINK("http://www.sec.gov/Archives/edgar/data/225648/0000225648-16-000130-index.html")</f>
        <v>http://www.sec.gov/Archives/edgar/data/225648/0000225648-16-000130-index.html</v>
      </c>
    </row>
    <row r="6012" spans="1:6" x14ac:dyDescent="0.2">
      <c r="A6012" t="s">
        <v>5480</v>
      </c>
      <c r="B6012" s="1">
        <v>23194</v>
      </c>
      <c r="C6012" s="1">
        <v>1311</v>
      </c>
      <c r="D6012" s="2">
        <v>42426</v>
      </c>
      <c r="E6012" s="1" t="s">
        <v>18</v>
      </c>
      <c r="F6012" t="str">
        <f>HYPERLINK("http://www.sec.gov/Archives/edgar/data/23194/0001564590-16-013592-index.html")</f>
        <v>http://www.sec.gov/Archives/edgar/data/23194/0001564590-16-013592-index.html</v>
      </c>
    </row>
    <row r="6013" spans="1:6" x14ac:dyDescent="0.2">
      <c r="A6013" t="s">
        <v>5481</v>
      </c>
      <c r="B6013" s="1">
        <v>23426</v>
      </c>
      <c r="C6013" s="1">
        <v>4911</v>
      </c>
      <c r="D6013" s="2">
        <v>42426</v>
      </c>
      <c r="E6013" s="1" t="s">
        <v>18</v>
      </c>
      <c r="F6013" t="str">
        <f>HYPERLINK("http://www.sec.gov/Archives/edgar/data/23426/0000072741-16-000063-index.html")</f>
        <v>http://www.sec.gov/Archives/edgar/data/23426/0000072741-16-000063-index.html</v>
      </c>
    </row>
    <row r="6014" spans="1:6" x14ac:dyDescent="0.2">
      <c r="A6014" t="s">
        <v>5482</v>
      </c>
      <c r="B6014" s="1">
        <v>25743</v>
      </c>
      <c r="C6014" s="1">
        <v>2834</v>
      </c>
      <c r="D6014" s="2">
        <v>42426</v>
      </c>
      <c r="E6014" s="1" t="s">
        <v>18</v>
      </c>
      <c r="F6014" t="str">
        <f>HYPERLINK("http://www.sec.gov/Archives/edgar/data/25743/0001387131-16-004361-index.html")</f>
        <v>http://www.sec.gov/Archives/edgar/data/25743/0001387131-16-004361-index.html</v>
      </c>
    </row>
    <row r="6015" spans="1:6" x14ac:dyDescent="0.2">
      <c r="A6015" t="s">
        <v>5483</v>
      </c>
      <c r="B6015" s="1">
        <v>28412</v>
      </c>
      <c r="C6015" s="1">
        <v>6021</v>
      </c>
      <c r="D6015" s="2">
        <v>42426</v>
      </c>
      <c r="E6015" s="1" t="s">
        <v>18</v>
      </c>
      <c r="F6015" t="str">
        <f>HYPERLINK("http://www.sec.gov/Archives/edgar/data/28412/0000028412-16-000196-index.html")</f>
        <v>http://www.sec.gov/Archives/edgar/data/28412/0000028412-16-000196-index.html</v>
      </c>
    </row>
    <row r="6016" spans="1:6" x14ac:dyDescent="0.2">
      <c r="A6016" t="s">
        <v>5484</v>
      </c>
      <c r="B6016" s="1">
        <v>310158</v>
      </c>
      <c r="C6016" s="1">
        <v>2834</v>
      </c>
      <c r="D6016" s="2">
        <v>42426</v>
      </c>
      <c r="E6016" s="1" t="s">
        <v>18</v>
      </c>
      <c r="F6016" t="str">
        <f>HYPERLINK("http://www.sec.gov/Archives/edgar/data/310158/0000310158-16-000063-index.html")</f>
        <v>http://www.sec.gov/Archives/edgar/data/310158/0000310158-16-000063-index.html</v>
      </c>
    </row>
    <row r="6017" spans="1:6" x14ac:dyDescent="0.2">
      <c r="A6017" t="s">
        <v>5485</v>
      </c>
      <c r="B6017" s="1">
        <v>311094</v>
      </c>
      <c r="C6017" s="1">
        <v>6021</v>
      </c>
      <c r="D6017" s="2">
        <v>42426</v>
      </c>
      <c r="E6017" s="1" t="s">
        <v>18</v>
      </c>
      <c r="F6017" t="str">
        <f>HYPERLINK("http://www.sec.gov/Archives/edgar/data/311094/0001171843-16-008199-index.html")</f>
        <v>http://www.sec.gov/Archives/edgar/data/311094/0001171843-16-008199-index.html</v>
      </c>
    </row>
    <row r="6018" spans="1:6" x14ac:dyDescent="0.2">
      <c r="A6018" t="s">
        <v>5486</v>
      </c>
      <c r="B6018" s="1">
        <v>31462</v>
      </c>
      <c r="C6018" s="1">
        <v>2840</v>
      </c>
      <c r="D6018" s="2">
        <v>42426</v>
      </c>
      <c r="E6018" s="1" t="s">
        <v>18</v>
      </c>
      <c r="F6018" t="str">
        <f>HYPERLINK("http://www.sec.gov/Archives/edgar/data/31462/0001558370-16-003581-index.html")</f>
        <v>http://www.sec.gov/Archives/edgar/data/31462/0001558370-16-003581-index.html</v>
      </c>
    </row>
    <row r="6019" spans="1:6" x14ac:dyDescent="0.2">
      <c r="A6019" t="s">
        <v>5487</v>
      </c>
      <c r="B6019" s="1">
        <v>315256</v>
      </c>
      <c r="C6019" s="1">
        <v>4911</v>
      </c>
      <c r="D6019" s="2">
        <v>42426</v>
      </c>
      <c r="E6019" s="1" t="s">
        <v>18</v>
      </c>
      <c r="F6019" t="str">
        <f>HYPERLINK("http://www.sec.gov/Archives/edgar/data/315256/0000072741-16-000063-index.html")</f>
        <v>http://www.sec.gov/Archives/edgar/data/315256/0000072741-16-000063-index.html</v>
      </c>
    </row>
    <row r="6020" spans="1:6" x14ac:dyDescent="0.2">
      <c r="A6020" t="s">
        <v>5488</v>
      </c>
      <c r="B6020" s="1">
        <v>3153</v>
      </c>
      <c r="C6020" s="1">
        <v>4911</v>
      </c>
      <c r="D6020" s="2">
        <v>42426</v>
      </c>
      <c r="E6020" s="1" t="s">
        <v>18</v>
      </c>
      <c r="F6020" t="str">
        <f>HYPERLINK("http://www.sec.gov/Archives/edgar/data/3153/0000092122-16-000126-index.html")</f>
        <v>http://www.sec.gov/Archives/edgar/data/3153/0000092122-16-000126-index.html</v>
      </c>
    </row>
    <row r="6021" spans="1:6" x14ac:dyDescent="0.2">
      <c r="A6021" t="s">
        <v>5489</v>
      </c>
      <c r="B6021" s="1">
        <v>315709</v>
      </c>
      <c r="C6021" s="1">
        <v>6022</v>
      </c>
      <c r="D6021" s="2">
        <v>42426</v>
      </c>
      <c r="E6021" s="1" t="s">
        <v>18</v>
      </c>
      <c r="F6021" t="str">
        <f>HYPERLINK("http://www.sec.gov/Archives/edgar/data/315709/0001558370-16-003607-index.html")</f>
        <v>http://www.sec.gov/Archives/edgar/data/315709/0001558370-16-003607-index.html</v>
      </c>
    </row>
    <row r="6022" spans="1:6" x14ac:dyDescent="0.2">
      <c r="A6022" t="s">
        <v>5490</v>
      </c>
      <c r="B6022" s="1">
        <v>318300</v>
      </c>
      <c r="C6022" s="1">
        <v>6021</v>
      </c>
      <c r="D6022" s="2">
        <v>42426</v>
      </c>
      <c r="E6022" s="1" t="s">
        <v>18</v>
      </c>
      <c r="F6022" t="str">
        <f>HYPERLINK("http://www.sec.gov/Archives/edgar/data/318300/0000318300-16-000477-index.html")</f>
        <v>http://www.sec.gov/Archives/edgar/data/318300/0000318300-16-000477-index.html</v>
      </c>
    </row>
    <row r="6023" spans="1:6" x14ac:dyDescent="0.2">
      <c r="A6023" t="s">
        <v>5491</v>
      </c>
      <c r="B6023" s="1">
        <v>320335</v>
      </c>
      <c r="C6023" s="1">
        <v>6311</v>
      </c>
      <c r="D6023" s="2">
        <v>42426</v>
      </c>
      <c r="E6023" s="1" t="s">
        <v>18</v>
      </c>
      <c r="F6023" t="str">
        <f>HYPERLINK("http://www.sec.gov/Archives/edgar/data/320335/0000320335-16-000059-index.html")</f>
        <v>http://www.sec.gov/Archives/edgar/data/320335/0000320335-16-000059-index.html</v>
      </c>
    </row>
    <row r="6024" spans="1:6" x14ac:dyDescent="0.2">
      <c r="A6024" t="s">
        <v>5492</v>
      </c>
      <c r="B6024" s="1">
        <v>32689</v>
      </c>
      <c r="C6024" s="1">
        <v>4911</v>
      </c>
      <c r="D6024" s="2">
        <v>42426</v>
      </c>
      <c r="E6024" s="1" t="s">
        <v>18</v>
      </c>
      <c r="F6024" t="str">
        <f>HYPERLINK("http://www.sec.gov/Archives/edgar/data/32689/0001047469-16-010471-index.html")</f>
        <v>http://www.sec.gov/Archives/edgar/data/32689/0001047469-16-010471-index.html</v>
      </c>
    </row>
    <row r="6025" spans="1:6" x14ac:dyDescent="0.2">
      <c r="A6025" t="s">
        <v>5493</v>
      </c>
      <c r="B6025" s="1">
        <v>3453</v>
      </c>
      <c r="C6025" s="1">
        <v>4400</v>
      </c>
      <c r="D6025" s="2">
        <v>42426</v>
      </c>
      <c r="E6025" s="1" t="s">
        <v>18</v>
      </c>
      <c r="F6025" t="str">
        <f>HYPERLINK("http://www.sec.gov/Archives/edgar/data/3453/0001104659-16-100342-index.html")</f>
        <v>http://www.sec.gov/Archives/edgar/data/3453/0001104659-16-100342-index.html</v>
      </c>
    </row>
    <row r="6026" spans="1:6" x14ac:dyDescent="0.2">
      <c r="A6026" t="s">
        <v>5494</v>
      </c>
      <c r="B6026" s="1">
        <v>350563</v>
      </c>
      <c r="C6026" s="1">
        <v>4911</v>
      </c>
      <c r="D6026" s="2">
        <v>42426</v>
      </c>
      <c r="E6026" s="1" t="s">
        <v>18</v>
      </c>
      <c r="F6026" t="str">
        <f>HYPERLINK("http://www.sec.gov/Archives/edgar/data/350563/0001564590-16-013516-index.html")</f>
        <v>http://www.sec.gov/Archives/edgar/data/350563/0001564590-16-013516-index.html</v>
      </c>
    </row>
    <row r="6027" spans="1:6" x14ac:dyDescent="0.2">
      <c r="A6027" t="s">
        <v>5495</v>
      </c>
      <c r="B6027" s="1">
        <v>350846</v>
      </c>
      <c r="C6027" s="1">
        <v>3713</v>
      </c>
      <c r="D6027" s="2">
        <v>42426</v>
      </c>
      <c r="E6027" s="1" t="s">
        <v>18</v>
      </c>
      <c r="F6027" t="str">
        <f>HYPERLINK("http://www.sec.gov/Archives/edgar/data/350846/0001104659-16-100382-index.html")</f>
        <v>http://www.sec.gov/Archives/edgar/data/350846/0001104659-16-100382-index.html</v>
      </c>
    </row>
    <row r="6028" spans="1:6" x14ac:dyDescent="0.2">
      <c r="A6028" t="s">
        <v>5496</v>
      </c>
      <c r="B6028" s="1">
        <v>353394</v>
      </c>
      <c r="C6028" s="1">
        <v>7373</v>
      </c>
      <c r="D6028" s="2">
        <v>42426</v>
      </c>
      <c r="E6028" s="1" t="s">
        <v>21</v>
      </c>
      <c r="F6028" t="str">
        <f>HYPERLINK("http://www.sec.gov/Archives/edgar/data/353394/0001336920-16-000076-index.html")</f>
        <v>http://www.sec.gov/Archives/edgar/data/353394/0001336920-16-000076-index.html</v>
      </c>
    </row>
    <row r="6029" spans="1:6" x14ac:dyDescent="0.2">
      <c r="A6029" t="s">
        <v>5497</v>
      </c>
      <c r="B6029" s="1">
        <v>354908</v>
      </c>
      <c r="C6029" s="1">
        <v>3812</v>
      </c>
      <c r="D6029" s="2">
        <v>42426</v>
      </c>
      <c r="E6029" s="1" t="s">
        <v>18</v>
      </c>
      <c r="F6029" t="str">
        <f>HYPERLINK("http://www.sec.gov/Archives/edgar/data/354908/0000354908-16-000103-index.html")</f>
        <v>http://www.sec.gov/Archives/edgar/data/354908/0000354908-16-000103-index.html</v>
      </c>
    </row>
    <row r="6030" spans="1:6" x14ac:dyDescent="0.2">
      <c r="A6030" t="s">
        <v>5498</v>
      </c>
      <c r="B6030" s="1">
        <v>354963</v>
      </c>
      <c r="C6030" s="1">
        <v>4813</v>
      </c>
      <c r="D6030" s="2">
        <v>42426</v>
      </c>
      <c r="E6030" s="1" t="s">
        <v>18</v>
      </c>
      <c r="F6030" t="str">
        <f>HYPERLINK("http://www.sec.gov/Archives/edgar/data/354963/0001140361-16-055078-index.html")</f>
        <v>http://www.sec.gov/Archives/edgar/data/354963/0001140361-16-055078-index.html</v>
      </c>
    </row>
    <row r="6031" spans="1:6" x14ac:dyDescent="0.2">
      <c r="A6031" t="s">
        <v>5499</v>
      </c>
      <c r="B6031" s="1">
        <v>36047</v>
      </c>
      <c r="C6031" s="1">
        <v>7374</v>
      </c>
      <c r="D6031" s="2">
        <v>42426</v>
      </c>
      <c r="E6031" s="1" t="s">
        <v>18</v>
      </c>
      <c r="F6031" t="str">
        <f>HYPERLINK("http://www.sec.gov/Archives/edgar/data/36047/0000036047-16-000065-index.html")</f>
        <v>http://www.sec.gov/Archives/edgar/data/36047/0000036047-16-000065-index.html</v>
      </c>
    </row>
    <row r="6032" spans="1:6" x14ac:dyDescent="0.2">
      <c r="A6032" t="s">
        <v>5500</v>
      </c>
      <c r="B6032" s="1">
        <v>37785</v>
      </c>
      <c r="C6032" s="1">
        <v>2800</v>
      </c>
      <c r="D6032" s="2">
        <v>42426</v>
      </c>
      <c r="E6032" s="1" t="s">
        <v>18</v>
      </c>
      <c r="F6032" t="str">
        <f>HYPERLINK("http://www.sec.gov/Archives/edgar/data/37785/0000037785-16-000081-index.html")</f>
        <v>http://www.sec.gov/Archives/edgar/data/37785/0000037785-16-000081-index.html</v>
      </c>
    </row>
    <row r="6033" spans="1:6" x14ac:dyDescent="0.2">
      <c r="A6033" t="s">
        <v>5501</v>
      </c>
      <c r="B6033" s="1">
        <v>37808</v>
      </c>
      <c r="C6033" s="1">
        <v>6021</v>
      </c>
      <c r="D6033" s="2">
        <v>42426</v>
      </c>
      <c r="E6033" s="1" t="s">
        <v>18</v>
      </c>
      <c r="F6033" t="str">
        <f>HYPERLINK("http://www.sec.gov/Archives/edgar/data/37808/0001193125-16-481147-index.html")</f>
        <v>http://www.sec.gov/Archives/edgar/data/37808/0001193125-16-481147-index.html</v>
      </c>
    </row>
    <row r="6034" spans="1:6" x14ac:dyDescent="0.2">
      <c r="A6034" t="s">
        <v>5502</v>
      </c>
      <c r="B6034" s="1">
        <v>40545</v>
      </c>
      <c r="C6034" s="1">
        <v>3600</v>
      </c>
      <c r="D6034" s="2">
        <v>42426</v>
      </c>
      <c r="E6034" s="1" t="s">
        <v>18</v>
      </c>
      <c r="F6034" t="str">
        <f>HYPERLINK("http://www.sec.gov/Archives/edgar/data/40545/0000040545-16-000145-index.html")</f>
        <v>http://www.sec.gov/Archives/edgar/data/40545/0000040545-16-000145-index.html</v>
      </c>
    </row>
    <row r="6035" spans="1:6" x14ac:dyDescent="0.2">
      <c r="A6035" t="s">
        <v>5503</v>
      </c>
      <c r="B6035" s="1">
        <v>40987</v>
      </c>
      <c r="C6035" s="1">
        <v>5013</v>
      </c>
      <c r="D6035" s="2">
        <v>42426</v>
      </c>
      <c r="E6035" s="1" t="s">
        <v>18</v>
      </c>
      <c r="F6035" t="str">
        <f>HYPERLINK("http://www.sec.gov/Archives/edgar/data/40987/0001193125-16-479829-index.html")</f>
        <v>http://www.sec.gov/Archives/edgar/data/40987/0001193125-16-479829-index.html</v>
      </c>
    </row>
    <row r="6036" spans="1:6" x14ac:dyDescent="0.2">
      <c r="A6036" t="s">
        <v>5504</v>
      </c>
      <c r="B6036" s="1">
        <v>41091</v>
      </c>
      <c r="C6036" s="1">
        <v>4911</v>
      </c>
      <c r="D6036" s="2">
        <v>42426</v>
      </c>
      <c r="E6036" s="1" t="s">
        <v>18</v>
      </c>
      <c r="F6036" t="str">
        <f>HYPERLINK("http://www.sec.gov/Archives/edgar/data/41091/0000092122-16-000126-index.html")</f>
        <v>http://www.sec.gov/Archives/edgar/data/41091/0000092122-16-000126-index.html</v>
      </c>
    </row>
    <row r="6037" spans="1:6" x14ac:dyDescent="0.2">
      <c r="A6037" t="s">
        <v>5505</v>
      </c>
      <c r="B6037" s="1">
        <v>41719</v>
      </c>
      <c r="C6037" s="1">
        <v>2621</v>
      </c>
      <c r="D6037" s="2">
        <v>42426</v>
      </c>
      <c r="E6037" s="1" t="s">
        <v>18</v>
      </c>
      <c r="F6037" t="str">
        <f>HYPERLINK("http://www.sec.gov/Archives/edgar/data/41719/0001193125-16-481956-index.html")</f>
        <v>http://www.sec.gov/Archives/edgar/data/41719/0001193125-16-481956-index.html</v>
      </c>
    </row>
    <row r="6038" spans="1:6" x14ac:dyDescent="0.2">
      <c r="A6038" t="s">
        <v>5506</v>
      </c>
      <c r="B6038" s="1">
        <v>43196</v>
      </c>
      <c r="C6038" s="1">
        <v>4833</v>
      </c>
      <c r="D6038" s="2">
        <v>42426</v>
      </c>
      <c r="E6038" s="1" t="s">
        <v>18</v>
      </c>
      <c r="F6038" t="str">
        <f>HYPERLINK("http://www.sec.gov/Archives/edgar/data/43196/0001437749-16-026123-index.html")</f>
        <v>http://www.sec.gov/Archives/edgar/data/43196/0001437749-16-026123-index.html</v>
      </c>
    </row>
    <row r="6039" spans="1:6" x14ac:dyDescent="0.2">
      <c r="A6039" t="s">
        <v>5507</v>
      </c>
      <c r="B6039" s="1">
        <v>4447</v>
      </c>
      <c r="C6039" s="1">
        <v>2911</v>
      </c>
      <c r="D6039" s="2">
        <v>42426</v>
      </c>
      <c r="E6039" s="1" t="s">
        <v>18</v>
      </c>
      <c r="F6039" t="str">
        <f>HYPERLINK("http://www.sec.gov/Archives/edgar/data/4447/0001564590-16-013433-index.html")</f>
        <v>http://www.sec.gov/Archives/edgar/data/4447/0001564590-16-013433-index.html</v>
      </c>
    </row>
    <row r="6040" spans="1:6" x14ac:dyDescent="0.2">
      <c r="A6040" t="s">
        <v>5508</v>
      </c>
      <c r="B6040" s="1">
        <v>44545</v>
      </c>
      <c r="C6040" s="1">
        <v>4911</v>
      </c>
      <c r="D6040" s="2">
        <v>42426</v>
      </c>
      <c r="E6040" s="1" t="s">
        <v>18</v>
      </c>
      <c r="F6040" t="str">
        <f>HYPERLINK("http://www.sec.gov/Archives/edgar/data/44545/0000092122-16-000126-index.html")</f>
        <v>http://www.sec.gov/Archives/edgar/data/44545/0000092122-16-000126-index.html</v>
      </c>
    </row>
    <row r="6041" spans="1:6" x14ac:dyDescent="0.2">
      <c r="A6041" t="s">
        <v>5509</v>
      </c>
      <c r="B6041" s="1">
        <v>45876</v>
      </c>
      <c r="C6041" s="1">
        <v>3440</v>
      </c>
      <c r="D6041" s="2">
        <v>42426</v>
      </c>
      <c r="E6041" s="1" t="s">
        <v>18</v>
      </c>
      <c r="F6041" t="str">
        <f>HYPERLINK("http://www.sec.gov/Archives/edgar/data/45876/0000045876-16-000095-index.html")</f>
        <v>http://www.sec.gov/Archives/edgar/data/45876/0000045876-16-000095-index.html</v>
      </c>
    </row>
    <row r="6042" spans="1:6" x14ac:dyDescent="0.2">
      <c r="A6042" t="s">
        <v>5510</v>
      </c>
      <c r="B6042" s="1">
        <v>45947</v>
      </c>
      <c r="C6042" s="1">
        <v>6311</v>
      </c>
      <c r="D6042" s="2">
        <v>42426</v>
      </c>
      <c r="E6042" s="1" t="s">
        <v>18</v>
      </c>
      <c r="F6042" t="str">
        <f>HYPERLINK("http://www.sec.gov/Archives/edgar/data/45947/0000045947-16-000018-index.html")</f>
        <v>http://www.sec.gov/Archives/edgar/data/45947/0000045947-16-000018-index.html</v>
      </c>
    </row>
    <row r="6043" spans="1:6" x14ac:dyDescent="0.2">
      <c r="A6043" t="s">
        <v>5511</v>
      </c>
      <c r="B6043" s="1">
        <v>47111</v>
      </c>
      <c r="C6043" s="1">
        <v>2060</v>
      </c>
      <c r="D6043" s="2">
        <v>42426</v>
      </c>
      <c r="E6043" s="1" t="s">
        <v>18</v>
      </c>
      <c r="F6043" t="str">
        <f>HYPERLINK("http://www.sec.gov/Archives/edgar/data/47111/0000047111-16-000095-index.html")</f>
        <v>http://www.sec.gov/Archives/edgar/data/47111/0000047111-16-000095-index.html</v>
      </c>
    </row>
    <row r="6044" spans="1:6" x14ac:dyDescent="0.2">
      <c r="A6044" t="s">
        <v>1497</v>
      </c>
      <c r="B6044" s="1">
        <v>48732</v>
      </c>
      <c r="C6044" s="1">
        <v>4911</v>
      </c>
      <c r="D6044" s="2">
        <v>42426</v>
      </c>
      <c r="E6044" s="1" t="s">
        <v>18</v>
      </c>
      <c r="F6044" t="str">
        <f>HYPERLINK("http://www.sec.gov/Archives/edgar/data/48732/0000048732-16-000021-index.html")</f>
        <v>http://www.sec.gov/Archives/edgar/data/48732/0000048732-16-000021-index.html</v>
      </c>
    </row>
    <row r="6045" spans="1:6" x14ac:dyDescent="0.2">
      <c r="A6045" t="s">
        <v>5512</v>
      </c>
      <c r="B6045" s="1">
        <v>63330</v>
      </c>
      <c r="C6045" s="1">
        <v>6500</v>
      </c>
      <c r="D6045" s="2">
        <v>42426</v>
      </c>
      <c r="E6045" s="1" t="s">
        <v>18</v>
      </c>
      <c r="F6045" t="str">
        <f>HYPERLINK("http://www.sec.gov/Archives/edgar/data/63330/0001437749-16-026175-index.html")</f>
        <v>http://www.sec.gov/Archives/edgar/data/63330/0001437749-16-026175-index.html</v>
      </c>
    </row>
    <row r="6046" spans="1:6" x14ac:dyDescent="0.2">
      <c r="A6046" t="s">
        <v>5513</v>
      </c>
      <c r="B6046" s="1">
        <v>65984</v>
      </c>
      <c r="C6046" s="1">
        <v>4911</v>
      </c>
      <c r="D6046" s="2">
        <v>42426</v>
      </c>
      <c r="E6046" s="1" t="s">
        <v>18</v>
      </c>
      <c r="F6046" t="str">
        <f>HYPERLINK("http://www.sec.gov/Archives/edgar/data/65984/0000065984-16-000436-index.html")</f>
        <v>http://www.sec.gov/Archives/edgar/data/65984/0000065984-16-000436-index.html</v>
      </c>
    </row>
    <row r="6047" spans="1:6" x14ac:dyDescent="0.2">
      <c r="A6047" t="s">
        <v>5514</v>
      </c>
      <c r="B6047" s="1">
        <v>66901</v>
      </c>
      <c r="C6047" s="1">
        <v>4911</v>
      </c>
      <c r="D6047" s="2">
        <v>42426</v>
      </c>
      <c r="E6047" s="1" t="s">
        <v>18</v>
      </c>
      <c r="F6047" t="str">
        <f>HYPERLINK("http://www.sec.gov/Archives/edgar/data/66901/0000065984-16-000436-index.html")</f>
        <v>http://www.sec.gov/Archives/edgar/data/66901/0000065984-16-000436-index.html</v>
      </c>
    </row>
    <row r="6048" spans="1:6" x14ac:dyDescent="0.2">
      <c r="A6048" t="s">
        <v>5515</v>
      </c>
      <c r="B6048" s="1">
        <v>66904</v>
      </c>
      <c r="C6048" s="1">
        <v>4911</v>
      </c>
      <c r="D6048" s="2">
        <v>42426</v>
      </c>
      <c r="E6048" s="1" t="s">
        <v>18</v>
      </c>
      <c r="F6048" t="str">
        <f>HYPERLINK("http://www.sec.gov/Archives/edgar/data/66904/0000092122-16-000126-index.html")</f>
        <v>http://www.sec.gov/Archives/edgar/data/66904/0000092122-16-000126-index.html</v>
      </c>
    </row>
    <row r="6049" spans="1:6" x14ac:dyDescent="0.2">
      <c r="A6049" t="s">
        <v>5516</v>
      </c>
      <c r="B6049" s="1">
        <v>6769</v>
      </c>
      <c r="C6049" s="1">
        <v>1311</v>
      </c>
      <c r="D6049" s="2">
        <v>42426</v>
      </c>
      <c r="E6049" s="1" t="s">
        <v>18</v>
      </c>
      <c r="F6049" t="str">
        <f>HYPERLINK("http://www.sec.gov/Archives/edgar/data/6769/0001193125-16-481920-index.html")</f>
        <v>http://www.sec.gov/Archives/edgar/data/6769/0001193125-16-481920-index.html</v>
      </c>
    </row>
    <row r="6050" spans="1:6" x14ac:dyDescent="0.2">
      <c r="A6050" t="s">
        <v>5517</v>
      </c>
      <c r="B6050" s="1">
        <v>700564</v>
      </c>
      <c r="C6050" s="1">
        <v>6021</v>
      </c>
      <c r="D6050" s="2">
        <v>42426</v>
      </c>
      <c r="E6050" s="1" t="s">
        <v>18</v>
      </c>
      <c r="F6050" t="str">
        <f>HYPERLINK("http://www.sec.gov/Archives/edgar/data/700564/0000700564-16-000066-index.html")</f>
        <v>http://www.sec.gov/Archives/edgar/data/700564/0000700564-16-000066-index.html</v>
      </c>
    </row>
    <row r="6051" spans="1:6" x14ac:dyDescent="0.2">
      <c r="A6051" t="s">
        <v>4340</v>
      </c>
      <c r="B6051" s="1">
        <v>704159</v>
      </c>
      <c r="C6051" s="1">
        <v>2836</v>
      </c>
      <c r="D6051" s="2">
        <v>42426</v>
      </c>
      <c r="E6051" s="1" t="s">
        <v>18</v>
      </c>
      <c r="F6051" t="str">
        <f>HYPERLINK("http://www.sec.gov/Archives/edgar/data/704159/0001437749-16-026076-index.html")</f>
        <v>http://www.sec.gov/Archives/edgar/data/704159/0001437749-16-026076-index.html</v>
      </c>
    </row>
    <row r="6052" spans="1:6" x14ac:dyDescent="0.2">
      <c r="A6052" t="s">
        <v>5518</v>
      </c>
      <c r="B6052" s="1">
        <v>707179</v>
      </c>
      <c r="C6052" s="1">
        <v>6021</v>
      </c>
      <c r="D6052" s="2">
        <v>42426</v>
      </c>
      <c r="E6052" s="1" t="s">
        <v>18</v>
      </c>
      <c r="F6052" t="str">
        <f>HYPERLINK("http://www.sec.gov/Archives/edgar/data/707179/0001193125-16-479833-index.html")</f>
        <v>http://www.sec.gov/Archives/edgar/data/707179/0001193125-16-479833-index.html</v>
      </c>
    </row>
    <row r="6053" spans="1:6" x14ac:dyDescent="0.2">
      <c r="A6053" t="s">
        <v>5519</v>
      </c>
      <c r="B6053" s="1">
        <v>70866</v>
      </c>
      <c r="C6053" s="1">
        <v>3578</v>
      </c>
      <c r="D6053" s="2">
        <v>42426</v>
      </c>
      <c r="E6053" s="1" t="s">
        <v>18</v>
      </c>
      <c r="F6053" t="str">
        <f>HYPERLINK("http://www.sec.gov/Archives/edgar/data/70866/0000070866-16-000069-index.html")</f>
        <v>http://www.sec.gov/Archives/edgar/data/70866/0000070866-16-000069-index.html</v>
      </c>
    </row>
    <row r="6054" spans="1:6" x14ac:dyDescent="0.2">
      <c r="A6054" t="s">
        <v>5520</v>
      </c>
      <c r="B6054" s="1">
        <v>714603</v>
      </c>
      <c r="C6054" s="1">
        <v>7374</v>
      </c>
      <c r="D6054" s="2">
        <v>42426</v>
      </c>
      <c r="E6054" s="1" t="s">
        <v>18</v>
      </c>
      <c r="F6054" t="str">
        <f>HYPERLINK("http://www.sec.gov/Archives/edgar/data/714603/0000714603-16-000050-index.html")</f>
        <v>http://www.sec.gov/Archives/edgar/data/714603/0000714603-16-000050-index.html</v>
      </c>
    </row>
    <row r="6055" spans="1:6" x14ac:dyDescent="0.2">
      <c r="A6055" t="s">
        <v>5521</v>
      </c>
      <c r="B6055" s="1">
        <v>71508</v>
      </c>
      <c r="C6055" s="1">
        <v>4931</v>
      </c>
      <c r="D6055" s="2">
        <v>42426</v>
      </c>
      <c r="E6055" s="1" t="s">
        <v>18</v>
      </c>
      <c r="F6055" t="str">
        <f>HYPERLINK("http://www.sec.gov/Archives/edgar/data/71508/0000065984-16-000436-index.html")</f>
        <v>http://www.sec.gov/Archives/edgar/data/71508/0000065984-16-000436-index.html</v>
      </c>
    </row>
    <row r="6056" spans="1:6" x14ac:dyDescent="0.2">
      <c r="A6056" t="s">
        <v>5522</v>
      </c>
      <c r="B6056" s="1">
        <v>715957</v>
      </c>
      <c r="C6056" s="1">
        <v>4911</v>
      </c>
      <c r="D6056" s="2">
        <v>42426</v>
      </c>
      <c r="E6056" s="1" t="s">
        <v>18</v>
      </c>
      <c r="F6056" t="str">
        <f>HYPERLINK("http://www.sec.gov/Archives/edgar/data/715957/0001193125-16-480850-index.html")</f>
        <v>http://www.sec.gov/Archives/edgar/data/715957/0001193125-16-480850-index.html</v>
      </c>
    </row>
    <row r="6057" spans="1:6" x14ac:dyDescent="0.2">
      <c r="A6057" t="s">
        <v>5523</v>
      </c>
      <c r="B6057" s="1">
        <v>717423</v>
      </c>
      <c r="C6057" s="1">
        <v>1311</v>
      </c>
      <c r="D6057" s="2">
        <v>42426</v>
      </c>
      <c r="E6057" s="1" t="s">
        <v>18</v>
      </c>
      <c r="F6057" t="str">
        <f>HYPERLINK("http://www.sec.gov/Archives/edgar/data/717423/0000717423-16-000064-index.html")</f>
        <v>http://www.sec.gov/Archives/edgar/data/717423/0000717423-16-000064-index.html</v>
      </c>
    </row>
    <row r="6058" spans="1:6" x14ac:dyDescent="0.2">
      <c r="A6058" t="s">
        <v>5524</v>
      </c>
      <c r="B6058" s="1">
        <v>71829</v>
      </c>
      <c r="C6058" s="1">
        <v>3533</v>
      </c>
      <c r="D6058" s="2">
        <v>42426</v>
      </c>
      <c r="E6058" s="1" t="s">
        <v>18</v>
      </c>
      <c r="F6058" t="str">
        <f>HYPERLINK("http://www.sec.gov/Archives/edgar/data/71829/0001437749-16-026131-index.html")</f>
        <v>http://www.sec.gov/Archives/edgar/data/71829/0001437749-16-026131-index.html</v>
      </c>
    </row>
    <row r="6059" spans="1:6" x14ac:dyDescent="0.2">
      <c r="A6059" t="s">
        <v>5525</v>
      </c>
      <c r="B6059" s="1">
        <v>719739</v>
      </c>
      <c r="C6059" s="1">
        <v>6022</v>
      </c>
      <c r="D6059" s="2">
        <v>42426</v>
      </c>
      <c r="E6059" s="1" t="s">
        <v>18</v>
      </c>
      <c r="F6059" t="str">
        <f>HYPERLINK("http://www.sec.gov/Archives/edgar/data/719739/0000719739-16-000073-index.html")</f>
        <v>http://www.sec.gov/Archives/edgar/data/719739/0000719739-16-000073-index.html</v>
      </c>
    </row>
    <row r="6060" spans="1:6" x14ac:dyDescent="0.2">
      <c r="A6060" t="s">
        <v>5526</v>
      </c>
      <c r="B6060" s="1">
        <v>72741</v>
      </c>
      <c r="C6060" s="1">
        <v>4911</v>
      </c>
      <c r="D6060" s="2">
        <v>42426</v>
      </c>
      <c r="E6060" s="1" t="s">
        <v>18</v>
      </c>
      <c r="F6060" t="str">
        <f>HYPERLINK("http://www.sec.gov/Archives/edgar/data/72741/0000072741-16-000063-index.html")</f>
        <v>http://www.sec.gov/Archives/edgar/data/72741/0000072741-16-000063-index.html</v>
      </c>
    </row>
    <row r="6061" spans="1:6" x14ac:dyDescent="0.2">
      <c r="A6061" t="s">
        <v>5527</v>
      </c>
      <c r="B6061" s="1">
        <v>727538</v>
      </c>
      <c r="C6061" s="1">
        <v>1311</v>
      </c>
      <c r="D6061" s="2">
        <v>42426</v>
      </c>
      <c r="E6061" s="1" t="s">
        <v>18</v>
      </c>
      <c r="F6061" t="str">
        <f>HYPERLINK("http://www.sec.gov/Archives/edgar/data/727538/0001193125-16-481926-index.html")</f>
        <v>http://www.sec.gov/Archives/edgar/data/727538/0001193125-16-481926-index.html</v>
      </c>
    </row>
    <row r="6062" spans="1:6" x14ac:dyDescent="0.2">
      <c r="A6062" t="s">
        <v>5528</v>
      </c>
      <c r="B6062" s="1">
        <v>73020</v>
      </c>
      <c r="C6062" s="1">
        <v>4924</v>
      </c>
      <c r="D6062" s="2">
        <v>42426</v>
      </c>
      <c r="E6062" s="1" t="s">
        <v>18</v>
      </c>
      <c r="F6062" t="str">
        <f>HYPERLINK("http://www.sec.gov/Archives/edgar/data/73020/0000073020-16-000038-index.html")</f>
        <v>http://www.sec.gov/Archives/edgar/data/73020/0000073020-16-000038-index.html</v>
      </c>
    </row>
    <row r="6063" spans="1:6" x14ac:dyDescent="0.2">
      <c r="A6063" t="s">
        <v>5529</v>
      </c>
      <c r="B6063" s="1">
        <v>7323</v>
      </c>
      <c r="C6063" s="1">
        <v>4911</v>
      </c>
      <c r="D6063" s="2">
        <v>42426</v>
      </c>
      <c r="E6063" s="1" t="s">
        <v>18</v>
      </c>
      <c r="F6063" t="str">
        <f>HYPERLINK("http://www.sec.gov/Archives/edgar/data/7323/0000065984-16-000436-index.html")</f>
        <v>http://www.sec.gov/Archives/edgar/data/7323/0000065984-16-000436-index.html</v>
      </c>
    </row>
    <row r="6064" spans="1:6" x14ac:dyDescent="0.2">
      <c r="A6064" t="s">
        <v>5530</v>
      </c>
      <c r="B6064" s="1">
        <v>73309</v>
      </c>
      <c r="C6064" s="1">
        <v>3312</v>
      </c>
      <c r="D6064" s="2">
        <v>42426</v>
      </c>
      <c r="E6064" s="1" t="s">
        <v>18</v>
      </c>
      <c r="F6064" t="str">
        <f>HYPERLINK("http://www.sec.gov/Archives/edgar/data/73309/0001193125-16-481119-index.html")</f>
        <v>http://www.sec.gov/Archives/edgar/data/73309/0001193125-16-481119-index.html</v>
      </c>
    </row>
    <row r="6065" spans="1:6" x14ac:dyDescent="0.2">
      <c r="A6065" t="s">
        <v>5531</v>
      </c>
      <c r="B6065" s="1">
        <v>74145</v>
      </c>
      <c r="C6065" s="1">
        <v>4911</v>
      </c>
      <c r="D6065" s="2">
        <v>42426</v>
      </c>
      <c r="E6065" s="1" t="s">
        <v>18</v>
      </c>
      <c r="F6065" t="str">
        <f>HYPERLINK("http://www.sec.gov/Archives/edgar/data/74145/0000074145-16-000035-index.html")</f>
        <v>http://www.sec.gov/Archives/edgar/data/74145/0000074145-16-000035-index.html</v>
      </c>
    </row>
    <row r="6066" spans="1:6" x14ac:dyDescent="0.2">
      <c r="A6066" t="s">
        <v>5532</v>
      </c>
      <c r="B6066" s="1">
        <v>747540</v>
      </c>
      <c r="C6066" s="1">
        <v>5065</v>
      </c>
      <c r="D6066" s="2">
        <v>42426</v>
      </c>
      <c r="E6066" s="1" t="s">
        <v>18</v>
      </c>
      <c r="F6066" t="str">
        <f>HYPERLINK("http://www.sec.gov/Archives/edgar/data/747540/0001013762-16-001345-index.html")</f>
        <v>http://www.sec.gov/Archives/edgar/data/747540/0001013762-16-001345-index.html</v>
      </c>
    </row>
    <row r="6067" spans="1:6" x14ac:dyDescent="0.2">
      <c r="A6067" t="s">
        <v>5533</v>
      </c>
      <c r="B6067" s="1">
        <v>750577</v>
      </c>
      <c r="C6067" s="1">
        <v>6022</v>
      </c>
      <c r="D6067" s="2">
        <v>42426</v>
      </c>
      <c r="E6067" s="1" t="s">
        <v>18</v>
      </c>
      <c r="F6067" t="str">
        <f>HYPERLINK("http://www.sec.gov/Archives/edgar/data/750577/0001193125-16-482143-index.html")</f>
        <v>http://www.sec.gov/Archives/edgar/data/750577/0001193125-16-482143-index.html</v>
      </c>
    </row>
    <row r="6068" spans="1:6" x14ac:dyDescent="0.2">
      <c r="A6068" t="s">
        <v>5534</v>
      </c>
      <c r="B6068" s="1">
        <v>754737</v>
      </c>
      <c r="C6068" s="1">
        <v>4931</v>
      </c>
      <c r="D6068" s="2">
        <v>42426</v>
      </c>
      <c r="E6068" s="1" t="s">
        <v>18</v>
      </c>
      <c r="F6068" t="str">
        <f>HYPERLINK("http://www.sec.gov/Archives/edgar/data/754737/0000754737-16-000089-index.html")</f>
        <v>http://www.sec.gov/Archives/edgar/data/754737/0000754737-16-000089-index.html</v>
      </c>
    </row>
    <row r="6069" spans="1:6" x14ac:dyDescent="0.2">
      <c r="A6069" t="s">
        <v>5535</v>
      </c>
      <c r="B6069" s="1">
        <v>75677</v>
      </c>
      <c r="C6069" s="1">
        <v>2650</v>
      </c>
      <c r="D6069" s="2">
        <v>42426</v>
      </c>
      <c r="E6069" s="1" t="s">
        <v>18</v>
      </c>
      <c r="F6069" t="str">
        <f>HYPERLINK("http://www.sec.gov/Archives/edgar/data/75677/0000075677-16-000030-index.html")</f>
        <v>http://www.sec.gov/Archives/edgar/data/75677/0000075677-16-000030-index.html</v>
      </c>
    </row>
    <row r="6070" spans="1:6" x14ac:dyDescent="0.2">
      <c r="A6070" t="s">
        <v>5536</v>
      </c>
      <c r="B6070" s="1">
        <v>759944</v>
      </c>
      <c r="C6070" s="1">
        <v>6022</v>
      </c>
      <c r="D6070" s="2">
        <v>42426</v>
      </c>
      <c r="E6070" s="1" t="s">
        <v>18</v>
      </c>
      <c r="F6070" t="str">
        <f>HYPERLINK("http://www.sec.gov/Archives/edgar/data/759944/0000759944-16-000099-index.html")</f>
        <v>http://www.sec.gov/Archives/edgar/data/759944/0000759944-16-000099-index.html</v>
      </c>
    </row>
    <row r="6071" spans="1:6" x14ac:dyDescent="0.2">
      <c r="A6071" t="s">
        <v>974</v>
      </c>
      <c r="B6071" s="1">
        <v>76063</v>
      </c>
      <c r="C6071" s="1">
        <v>4922</v>
      </c>
      <c r="D6071" s="2">
        <v>42426</v>
      </c>
      <c r="E6071" s="1" t="s">
        <v>18</v>
      </c>
      <c r="F6071" t="str">
        <f>HYPERLINK("http://www.sec.gov/Archives/edgar/data/76063/0000076063-16-000034-index.html")</f>
        <v>http://www.sec.gov/Archives/edgar/data/76063/0000076063-16-000034-index.html</v>
      </c>
    </row>
    <row r="6072" spans="1:6" x14ac:dyDescent="0.2">
      <c r="A6072" t="s">
        <v>5537</v>
      </c>
      <c r="B6072" s="1">
        <v>766701</v>
      </c>
      <c r="C6072" s="1">
        <v>6798</v>
      </c>
      <c r="D6072" s="2">
        <v>42426</v>
      </c>
      <c r="E6072" s="1" t="s">
        <v>18</v>
      </c>
      <c r="F6072" t="str">
        <f>HYPERLINK("http://www.sec.gov/Archives/edgar/data/766701/0001140361-16-055144-index.html")</f>
        <v>http://www.sec.gov/Archives/edgar/data/766701/0001140361-16-055144-index.html</v>
      </c>
    </row>
    <row r="6073" spans="1:6" x14ac:dyDescent="0.2">
      <c r="A6073" t="s">
        <v>5538</v>
      </c>
      <c r="B6073" s="1">
        <v>766829</v>
      </c>
      <c r="C6073" s="1">
        <v>4941</v>
      </c>
      <c r="D6073" s="2">
        <v>42426</v>
      </c>
      <c r="E6073" s="1" t="s">
        <v>18</v>
      </c>
      <c r="F6073" t="str">
        <f>HYPERLINK("http://www.sec.gov/Archives/edgar/data/766829/0000766829-16-000053-index.html")</f>
        <v>http://www.sec.gov/Archives/edgar/data/766829/0000766829-16-000053-index.html</v>
      </c>
    </row>
    <row r="6074" spans="1:6" x14ac:dyDescent="0.2">
      <c r="A6074" t="s">
        <v>5539</v>
      </c>
      <c r="B6074" s="1">
        <v>77281</v>
      </c>
      <c r="C6074" s="1">
        <v>6798</v>
      </c>
      <c r="D6074" s="2">
        <v>42426</v>
      </c>
      <c r="E6074" s="1" t="s">
        <v>18</v>
      </c>
      <c r="F6074" t="str">
        <f>HYPERLINK("http://www.sec.gov/Archives/edgar/data/77281/0000077281-16-000093-index.html")</f>
        <v>http://www.sec.gov/Archives/edgar/data/77281/0000077281-16-000093-index.html</v>
      </c>
    </row>
    <row r="6075" spans="1:6" x14ac:dyDescent="0.2">
      <c r="A6075" t="s">
        <v>5540</v>
      </c>
      <c r="B6075" s="1">
        <v>77360</v>
      </c>
      <c r="C6075" s="1">
        <v>3550</v>
      </c>
      <c r="D6075" s="2">
        <v>42426</v>
      </c>
      <c r="E6075" s="1" t="s">
        <v>18</v>
      </c>
      <c r="F6075" t="str">
        <f>HYPERLINK("http://www.sec.gov/Archives/edgar/data/77360/0000077360-16-000058-index.html")</f>
        <v>http://www.sec.gov/Archives/edgar/data/77360/0000077360-16-000058-index.html</v>
      </c>
    </row>
    <row r="6076" spans="1:6" x14ac:dyDescent="0.2">
      <c r="A6076" t="s">
        <v>5541</v>
      </c>
      <c r="B6076" s="1">
        <v>77776</v>
      </c>
      <c r="C6076" s="1">
        <v>6159</v>
      </c>
      <c r="D6076" s="2">
        <v>42426</v>
      </c>
      <c r="E6076" s="1" t="s">
        <v>18</v>
      </c>
      <c r="F6076" t="str">
        <f>HYPERLINK("http://www.sec.gov/Archives/edgar/data/77776/0000077776-16-000007-index.html")</f>
        <v>http://www.sec.gov/Archives/edgar/data/77776/0000077776-16-000007-index.html</v>
      </c>
    </row>
    <row r="6077" spans="1:6" x14ac:dyDescent="0.2">
      <c r="A6077" t="s">
        <v>5542</v>
      </c>
      <c r="B6077" s="1">
        <v>78128</v>
      </c>
      <c r="C6077" s="1">
        <v>4941</v>
      </c>
      <c r="D6077" s="2">
        <v>42426</v>
      </c>
      <c r="E6077" s="1" t="s">
        <v>18</v>
      </c>
      <c r="F6077" t="str">
        <f>HYPERLINK("http://www.sec.gov/Archives/edgar/data/78128/0001562762-16-000347-index.html")</f>
        <v>http://www.sec.gov/Archives/edgar/data/78128/0001562762-16-000347-index.html</v>
      </c>
    </row>
    <row r="6078" spans="1:6" x14ac:dyDescent="0.2">
      <c r="A6078" t="s">
        <v>5543</v>
      </c>
      <c r="B6078" s="1">
        <v>783324</v>
      </c>
      <c r="C6078" s="1">
        <v>1040</v>
      </c>
      <c r="D6078" s="2">
        <v>42426</v>
      </c>
      <c r="E6078" s="1" t="s">
        <v>18</v>
      </c>
      <c r="F6078" t="str">
        <f>HYPERLINK("http://www.sec.gov/Archives/edgar/data/783324/0000783324-16-000056-index.html")</f>
        <v>http://www.sec.gov/Archives/edgar/data/783324/0000783324-16-000056-index.html</v>
      </c>
    </row>
    <row r="6079" spans="1:6" x14ac:dyDescent="0.2">
      <c r="A6079" t="s">
        <v>5544</v>
      </c>
      <c r="B6079" s="1">
        <v>783325</v>
      </c>
      <c r="C6079" s="1">
        <v>4931</v>
      </c>
      <c r="D6079" s="2">
        <v>42426</v>
      </c>
      <c r="E6079" s="1" t="s">
        <v>18</v>
      </c>
      <c r="F6079" t="str">
        <f>HYPERLINK("http://www.sec.gov/Archives/edgar/data/783325/0000107815-16-000248-index.html")</f>
        <v>http://www.sec.gov/Archives/edgar/data/783325/0000107815-16-000248-index.html</v>
      </c>
    </row>
    <row r="6080" spans="1:6" x14ac:dyDescent="0.2">
      <c r="A6080" t="s">
        <v>5545</v>
      </c>
      <c r="B6080" s="1">
        <v>788784</v>
      </c>
      <c r="C6080" s="1">
        <v>4931</v>
      </c>
      <c r="D6080" s="2">
        <v>42426</v>
      </c>
      <c r="E6080" s="1" t="s">
        <v>18</v>
      </c>
      <c r="F6080" t="str">
        <f>HYPERLINK("http://www.sec.gov/Archives/edgar/data/788784/0000788784-16-000014-index.html")</f>
        <v>http://www.sec.gov/Archives/edgar/data/788784/0000788784-16-000014-index.html</v>
      </c>
    </row>
    <row r="6081" spans="1:6" x14ac:dyDescent="0.2">
      <c r="A6081" t="s">
        <v>5546</v>
      </c>
      <c r="B6081" s="1">
        <v>789132</v>
      </c>
      <c r="C6081" s="1">
        <v>3845</v>
      </c>
      <c r="D6081" s="2">
        <v>42426</v>
      </c>
      <c r="E6081" s="1" t="s">
        <v>18</v>
      </c>
      <c r="F6081" t="str">
        <f>HYPERLINK("http://www.sec.gov/Archives/edgar/data/789132/0000789132-16-000210-index.html")</f>
        <v>http://www.sec.gov/Archives/edgar/data/789132/0000789132-16-000210-index.html</v>
      </c>
    </row>
    <row r="6082" spans="1:6" x14ac:dyDescent="0.2">
      <c r="A6082" t="s">
        <v>5547</v>
      </c>
      <c r="B6082" s="1">
        <v>79282</v>
      </c>
      <c r="C6082" s="1">
        <v>6411</v>
      </c>
      <c r="D6082" s="2">
        <v>42426</v>
      </c>
      <c r="E6082" s="1" t="s">
        <v>18</v>
      </c>
      <c r="F6082" t="str">
        <f>HYPERLINK("http://www.sec.gov/Archives/edgar/data/79282/0000079282-16-000034-index.html")</f>
        <v>http://www.sec.gov/Archives/edgar/data/79282/0000079282-16-000034-index.html</v>
      </c>
    </row>
    <row r="6083" spans="1:6" x14ac:dyDescent="0.2">
      <c r="A6083" t="s">
        <v>5548</v>
      </c>
      <c r="B6083" s="1">
        <v>793074</v>
      </c>
      <c r="C6083" s="1">
        <v>4213</v>
      </c>
      <c r="D6083" s="2">
        <v>42426</v>
      </c>
      <c r="E6083" s="1" t="s">
        <v>18</v>
      </c>
      <c r="F6083" t="str">
        <f>HYPERLINK("http://www.sec.gov/Archives/edgar/data/793074/0000793074-16-000060-index.html")</f>
        <v>http://www.sec.gov/Archives/edgar/data/793074/0000793074-16-000060-index.html</v>
      </c>
    </row>
    <row r="6084" spans="1:6" x14ac:dyDescent="0.2">
      <c r="A6084" t="s">
        <v>5549</v>
      </c>
      <c r="B6084" s="1">
        <v>793733</v>
      </c>
      <c r="C6084" s="1">
        <v>4512</v>
      </c>
      <c r="D6084" s="2">
        <v>42426</v>
      </c>
      <c r="E6084" s="1" t="s">
        <v>18</v>
      </c>
      <c r="F6084" t="str">
        <f>HYPERLINK("http://www.sec.gov/Archives/edgar/data/793733/0001558370-16-003629-index.html")</f>
        <v>http://www.sec.gov/Archives/edgar/data/793733/0001558370-16-003629-index.html</v>
      </c>
    </row>
    <row r="6085" spans="1:6" x14ac:dyDescent="0.2">
      <c r="A6085" t="s">
        <v>5550</v>
      </c>
      <c r="B6085" s="1">
        <v>794323</v>
      </c>
      <c r="C6085" s="1">
        <v>4813</v>
      </c>
      <c r="D6085" s="2">
        <v>42426</v>
      </c>
      <c r="E6085" s="1" t="s">
        <v>18</v>
      </c>
      <c r="F6085" t="str">
        <f>HYPERLINK("http://www.sec.gov/Archives/edgar/data/794323/0000794323-16-000025-index.html")</f>
        <v>http://www.sec.gov/Archives/edgar/data/794323/0000794323-16-000025-index.html</v>
      </c>
    </row>
    <row r="6086" spans="1:6" x14ac:dyDescent="0.2">
      <c r="A6086" t="s">
        <v>5551</v>
      </c>
      <c r="B6086" s="1">
        <v>797468</v>
      </c>
      <c r="C6086" s="1">
        <v>1311</v>
      </c>
      <c r="D6086" s="2">
        <v>42426</v>
      </c>
      <c r="E6086" s="1" t="s">
        <v>18</v>
      </c>
      <c r="F6086" t="str">
        <f>HYPERLINK("http://www.sec.gov/Archives/edgar/data/797468/0000797468-16-000017-index.html")</f>
        <v>http://www.sec.gov/Archives/edgar/data/797468/0000797468-16-000017-index.html</v>
      </c>
    </row>
    <row r="6087" spans="1:6" x14ac:dyDescent="0.2">
      <c r="A6087" t="s">
        <v>5552</v>
      </c>
      <c r="B6087" s="1">
        <v>799292</v>
      </c>
      <c r="C6087" s="1">
        <v>1531</v>
      </c>
      <c r="D6087" s="2">
        <v>42426</v>
      </c>
      <c r="E6087" s="1" t="s">
        <v>18</v>
      </c>
      <c r="F6087" t="str">
        <f>HYPERLINK("http://www.sec.gov/Archives/edgar/data/799292/0000799292-16-000048-index.html")</f>
        <v>http://www.sec.gov/Archives/edgar/data/799292/0000799292-16-000048-index.html</v>
      </c>
    </row>
    <row r="6088" spans="1:6" x14ac:dyDescent="0.2">
      <c r="A6088" t="s">
        <v>5553</v>
      </c>
      <c r="B6088" s="1">
        <v>806517</v>
      </c>
      <c r="C6088" s="1">
        <v>8071</v>
      </c>
      <c r="D6088" s="2">
        <v>42426</v>
      </c>
      <c r="E6088" s="1" t="s">
        <v>18</v>
      </c>
      <c r="F6088" t="str">
        <f>HYPERLINK("http://www.sec.gov/Archives/edgar/data/806517/0001144204-16-084605-index.html")</f>
        <v>http://www.sec.gov/Archives/edgar/data/806517/0001144204-16-084605-index.html</v>
      </c>
    </row>
    <row r="6089" spans="1:6" x14ac:dyDescent="0.2">
      <c r="A6089" t="s">
        <v>5554</v>
      </c>
      <c r="B6089" s="1">
        <v>807884</v>
      </c>
      <c r="C6089" s="1">
        <v>5900</v>
      </c>
      <c r="D6089" s="2">
        <v>42426</v>
      </c>
      <c r="E6089" s="1" t="s">
        <v>18</v>
      </c>
      <c r="F6089" t="str">
        <f>HYPERLINK("http://www.sec.gov/Archives/edgar/data/807884/0000807884-16-000055-index.html")</f>
        <v>http://www.sec.gov/Archives/edgar/data/807884/0000807884-16-000055-index.html</v>
      </c>
    </row>
    <row r="6090" spans="1:6" x14ac:dyDescent="0.2">
      <c r="A6090" t="s">
        <v>5555</v>
      </c>
      <c r="B6090" s="1">
        <v>81033</v>
      </c>
      <c r="C6090" s="1">
        <v>4931</v>
      </c>
      <c r="D6090" s="2">
        <v>42426</v>
      </c>
      <c r="E6090" s="1" t="s">
        <v>18</v>
      </c>
      <c r="F6090" t="str">
        <f>HYPERLINK("http://www.sec.gov/Archives/edgar/data/81033/0000788784-16-000014-index.html")</f>
        <v>http://www.sec.gov/Archives/edgar/data/81033/0000788784-16-000014-index.html</v>
      </c>
    </row>
    <row r="6091" spans="1:6" x14ac:dyDescent="0.2">
      <c r="A6091" t="s">
        <v>5556</v>
      </c>
      <c r="B6091" s="1">
        <v>811532</v>
      </c>
      <c r="C6091" s="1">
        <v>7990</v>
      </c>
      <c r="D6091" s="2">
        <v>42426</v>
      </c>
      <c r="E6091" s="1" t="s">
        <v>18</v>
      </c>
      <c r="F6091" t="str">
        <f>HYPERLINK("http://www.sec.gov/Archives/edgar/data/811532/0000811532-16-000223-index.html")</f>
        <v>http://www.sec.gov/Archives/edgar/data/811532/0000811532-16-000223-index.html</v>
      </c>
    </row>
    <row r="6092" spans="1:6" x14ac:dyDescent="0.2">
      <c r="A6092" t="s">
        <v>5557</v>
      </c>
      <c r="B6092" s="1">
        <v>811808</v>
      </c>
      <c r="C6092" s="1">
        <v>6022</v>
      </c>
      <c r="D6092" s="2">
        <v>42426</v>
      </c>
      <c r="E6092" s="1" t="s">
        <v>18</v>
      </c>
      <c r="F6092" t="str">
        <f>HYPERLINK("http://www.sec.gov/Archives/edgar/data/811808/0000811808-16-000054-index.html")</f>
        <v>http://www.sec.gov/Archives/edgar/data/811808/0000811808-16-000054-index.html</v>
      </c>
    </row>
    <row r="6093" spans="1:6" x14ac:dyDescent="0.2">
      <c r="A6093" t="s">
        <v>5558</v>
      </c>
      <c r="B6093" s="1">
        <v>812701</v>
      </c>
      <c r="C6093" s="1">
        <v>2810</v>
      </c>
      <c r="D6093" s="2">
        <v>42426</v>
      </c>
      <c r="E6093" s="1" t="s">
        <v>18</v>
      </c>
      <c r="F6093" t="str">
        <f>HYPERLINK("http://www.sec.gov/Archives/edgar/data/812701/0001104659-16-100355-index.html")</f>
        <v>http://www.sec.gov/Archives/edgar/data/812701/0001104659-16-100355-index.html</v>
      </c>
    </row>
    <row r="6094" spans="1:6" x14ac:dyDescent="0.2">
      <c r="A6094" t="s">
        <v>5559</v>
      </c>
      <c r="B6094" s="1">
        <v>816159</v>
      </c>
      <c r="C6094" s="1">
        <v>4522</v>
      </c>
      <c r="D6094" s="2">
        <v>42426</v>
      </c>
      <c r="E6094" s="1" t="s">
        <v>18</v>
      </c>
      <c r="F6094" t="str">
        <f>HYPERLINK("http://www.sec.gov/Archives/edgar/data/816159/0001571049-16-012144-index.html")</f>
        <v>http://www.sec.gov/Archives/edgar/data/816159/0001571049-16-012144-index.html</v>
      </c>
    </row>
    <row r="6095" spans="1:6" x14ac:dyDescent="0.2">
      <c r="A6095" t="s">
        <v>5560</v>
      </c>
      <c r="B6095" s="1">
        <v>816761</v>
      </c>
      <c r="C6095" s="1">
        <v>3571</v>
      </c>
      <c r="D6095" s="2">
        <v>42426</v>
      </c>
      <c r="E6095" s="1" t="s">
        <v>18</v>
      </c>
      <c r="F6095" t="str">
        <f>HYPERLINK("http://www.sec.gov/Archives/edgar/data/816761/0000816761-16-000045-index.html")</f>
        <v>http://www.sec.gov/Archives/edgar/data/816761/0000816761-16-000045-index.html</v>
      </c>
    </row>
    <row r="6096" spans="1:6" x14ac:dyDescent="0.2">
      <c r="A6096" t="s">
        <v>5561</v>
      </c>
      <c r="B6096" s="1">
        <v>817366</v>
      </c>
      <c r="C6096" s="1">
        <v>700</v>
      </c>
      <c r="D6096" s="2">
        <v>42426</v>
      </c>
      <c r="E6096" s="1" t="s">
        <v>18</v>
      </c>
      <c r="F6096" t="str">
        <f>HYPERLINK("http://www.sec.gov/Archives/edgar/data/817366/0001628280-16-011807-index.html")</f>
        <v>http://www.sec.gov/Archives/edgar/data/817366/0001628280-16-011807-index.html</v>
      </c>
    </row>
    <row r="6097" spans="1:6" x14ac:dyDescent="0.2">
      <c r="A6097" t="s">
        <v>5562</v>
      </c>
      <c r="B6097" s="1">
        <v>819793</v>
      </c>
      <c r="C6097" s="1">
        <v>2221</v>
      </c>
      <c r="D6097" s="2">
        <v>42426</v>
      </c>
      <c r="E6097" s="1" t="s">
        <v>18</v>
      </c>
      <c r="F6097" t="str">
        <f>HYPERLINK("http://www.sec.gov/Archives/edgar/data/819793/0000891092-16-012779-index.html")</f>
        <v>http://www.sec.gov/Archives/edgar/data/819793/0000891092-16-012779-index.html</v>
      </c>
    </row>
    <row r="6098" spans="1:6" x14ac:dyDescent="0.2">
      <c r="A6098" t="s">
        <v>5563</v>
      </c>
      <c r="B6098" s="1">
        <v>821127</v>
      </c>
      <c r="C6098" s="1">
        <v>6022</v>
      </c>
      <c r="D6098" s="2">
        <v>42426</v>
      </c>
      <c r="E6098" s="1" t="s">
        <v>18</v>
      </c>
      <c r="F6098" t="str">
        <f>HYPERLINK("http://www.sec.gov/Archives/edgar/data/821127/0000821127-16-000158-index.html")</f>
        <v>http://www.sec.gov/Archives/edgar/data/821127/0000821127-16-000158-index.html</v>
      </c>
    </row>
    <row r="6099" spans="1:6" x14ac:dyDescent="0.2">
      <c r="A6099" t="s">
        <v>5564</v>
      </c>
      <c r="B6099" s="1">
        <v>823094</v>
      </c>
      <c r="C6099" s="1">
        <v>7389</v>
      </c>
      <c r="D6099" s="2">
        <v>42426</v>
      </c>
      <c r="E6099" s="1" t="s">
        <v>18</v>
      </c>
      <c r="F6099" t="str">
        <f>HYPERLINK("http://www.sec.gov/Archives/edgar/data/823094/0000823094-16-000080-index.html")</f>
        <v>http://www.sec.gov/Archives/edgar/data/823094/0000823094-16-000080-index.html</v>
      </c>
    </row>
    <row r="6100" spans="1:6" x14ac:dyDescent="0.2">
      <c r="A6100" t="s">
        <v>5565</v>
      </c>
      <c r="B6100" s="1">
        <v>831001</v>
      </c>
      <c r="C6100" s="1">
        <v>6021</v>
      </c>
      <c r="D6100" s="2">
        <v>42426</v>
      </c>
      <c r="E6100" s="1" t="s">
        <v>18</v>
      </c>
      <c r="F6100" t="str">
        <f>HYPERLINK("http://www.sec.gov/Archives/edgar/data/831001/0000831001-16-000235-index.html")</f>
        <v>http://www.sec.gov/Archives/edgar/data/831001/0000831001-16-000235-index.html</v>
      </c>
    </row>
    <row r="6101" spans="1:6" x14ac:dyDescent="0.2">
      <c r="A6101" t="s">
        <v>5566</v>
      </c>
      <c r="B6101" s="1">
        <v>831259</v>
      </c>
      <c r="C6101" s="1">
        <v>1000</v>
      </c>
      <c r="D6101" s="2">
        <v>42426</v>
      </c>
      <c r="E6101" s="1" t="s">
        <v>18</v>
      </c>
      <c r="F6101" t="str">
        <f>HYPERLINK("http://www.sec.gov/Archives/edgar/data/831259/0000831259-16-000062-index.html")</f>
        <v>http://www.sec.gov/Archives/edgar/data/831259/0000831259-16-000062-index.html</v>
      </c>
    </row>
    <row r="6102" spans="1:6" x14ac:dyDescent="0.2">
      <c r="A6102" t="s">
        <v>5567</v>
      </c>
      <c r="B6102" s="1">
        <v>832428</v>
      </c>
      <c r="C6102" s="1">
        <v>4833</v>
      </c>
      <c r="D6102" s="2">
        <v>42426</v>
      </c>
      <c r="E6102" s="1" t="s">
        <v>18</v>
      </c>
      <c r="F6102" t="str">
        <f>HYPERLINK("http://www.sec.gov/Archives/edgar/data/832428/0000832428-16-000080-index.html")</f>
        <v>http://www.sec.gov/Archives/edgar/data/832428/0000832428-16-000080-index.html</v>
      </c>
    </row>
    <row r="6103" spans="1:6" x14ac:dyDescent="0.2">
      <c r="A6103" t="s">
        <v>5568</v>
      </c>
      <c r="B6103" s="1">
        <v>84246</v>
      </c>
      <c r="C6103" s="1">
        <v>6331</v>
      </c>
      <c r="D6103" s="2">
        <v>42426</v>
      </c>
      <c r="E6103" s="1" t="s">
        <v>18</v>
      </c>
      <c r="F6103" t="str">
        <f>HYPERLINK("http://www.sec.gov/Archives/edgar/data/84246/0001558370-16-003590-index.html")</f>
        <v>http://www.sec.gov/Archives/edgar/data/84246/0001558370-16-003590-index.html</v>
      </c>
    </row>
    <row r="6104" spans="1:6" x14ac:dyDescent="0.2">
      <c r="A6104" t="s">
        <v>5569</v>
      </c>
      <c r="B6104" s="1">
        <v>842633</v>
      </c>
      <c r="C6104" s="1">
        <v>3460</v>
      </c>
      <c r="D6104" s="2">
        <v>42426</v>
      </c>
      <c r="E6104" s="1" t="s">
        <v>18</v>
      </c>
      <c r="F6104" t="str">
        <f>HYPERLINK("http://www.sec.gov/Archives/edgar/data/842633/0000842633-16-000176-index.html")</f>
        <v>http://www.sec.gov/Archives/edgar/data/842633/0000842633-16-000176-index.html</v>
      </c>
    </row>
    <row r="6105" spans="1:6" x14ac:dyDescent="0.2">
      <c r="A6105" t="s">
        <v>5570</v>
      </c>
      <c r="B6105" s="1">
        <v>850460</v>
      </c>
      <c r="C6105" s="1">
        <v>3350</v>
      </c>
      <c r="D6105" s="2">
        <v>42426</v>
      </c>
      <c r="E6105" s="1" t="s">
        <v>18</v>
      </c>
      <c r="F6105" t="str">
        <f>HYPERLINK("http://www.sec.gov/Archives/edgar/data/850460/0000850460-16-000028-index.html")</f>
        <v>http://www.sec.gov/Archives/edgar/data/850460/0000850460-16-000028-index.html</v>
      </c>
    </row>
    <row r="6106" spans="1:6" x14ac:dyDescent="0.2">
      <c r="A6106" t="s">
        <v>5571</v>
      </c>
      <c r="B6106" s="1">
        <v>851520</v>
      </c>
      <c r="C6106" s="1">
        <v>8742</v>
      </c>
      <c r="D6106" s="2">
        <v>42426</v>
      </c>
      <c r="E6106" s="1" t="s">
        <v>18</v>
      </c>
      <c r="F6106" t="str">
        <f>HYPERLINK("http://www.sec.gov/Archives/edgar/data/851520/0001144204-16-084673-index.html")</f>
        <v>http://www.sec.gov/Archives/edgar/data/851520/0001144204-16-084673-index.html</v>
      </c>
    </row>
    <row r="6107" spans="1:6" x14ac:dyDescent="0.2">
      <c r="A6107" t="s">
        <v>5572</v>
      </c>
      <c r="B6107" s="1">
        <v>85408</v>
      </c>
      <c r="C6107" s="1">
        <v>1381</v>
      </c>
      <c r="D6107" s="2">
        <v>42426</v>
      </c>
      <c r="E6107" s="1" t="s">
        <v>18</v>
      </c>
      <c r="F6107" t="str">
        <f>HYPERLINK("http://www.sec.gov/Archives/edgar/data/85408/0000085408-16-000014-index.html")</f>
        <v>http://www.sec.gov/Archives/edgar/data/85408/0000085408-16-000014-index.html</v>
      </c>
    </row>
    <row r="6108" spans="1:6" x14ac:dyDescent="0.2">
      <c r="A6108" t="s">
        <v>5573</v>
      </c>
      <c r="B6108" s="1">
        <v>855931</v>
      </c>
      <c r="C6108" s="1">
        <v>2870</v>
      </c>
      <c r="D6108" s="2">
        <v>42426</v>
      </c>
      <c r="E6108" s="1" t="s">
        <v>18</v>
      </c>
      <c r="F6108" t="str">
        <f>HYPERLINK("http://www.sec.gov/Archives/edgar/data/855931/0001193125-16-480730-index.html")</f>
        <v>http://www.sec.gov/Archives/edgar/data/855931/0001193125-16-480730-index.html</v>
      </c>
    </row>
    <row r="6109" spans="1:6" x14ac:dyDescent="0.2">
      <c r="A6109" t="s">
        <v>5574</v>
      </c>
      <c r="B6109" s="1">
        <v>857855</v>
      </c>
      <c r="C6109" s="1">
        <v>6022</v>
      </c>
      <c r="D6109" s="2">
        <v>42426</v>
      </c>
      <c r="E6109" s="1" t="s">
        <v>18</v>
      </c>
      <c r="F6109" t="str">
        <f>HYPERLINK("http://www.sec.gov/Archives/edgar/data/857855/0001571049-16-012197-index.html")</f>
        <v>http://www.sec.gov/Archives/edgar/data/857855/0001571049-16-012197-index.html</v>
      </c>
    </row>
    <row r="6110" spans="1:6" x14ac:dyDescent="0.2">
      <c r="A6110" t="s">
        <v>5575</v>
      </c>
      <c r="B6110" s="1">
        <v>860730</v>
      </c>
      <c r="C6110" s="1">
        <v>8062</v>
      </c>
      <c r="D6110" s="2">
        <v>42426</v>
      </c>
      <c r="E6110" s="1" t="s">
        <v>18</v>
      </c>
      <c r="F6110" t="str">
        <f>HYPERLINK("http://www.sec.gov/Archives/edgar/data/860730/0001193125-16-482165-index.html")</f>
        <v>http://www.sec.gov/Archives/edgar/data/860730/0001193125-16-482165-index.html</v>
      </c>
    </row>
    <row r="6111" spans="1:6" x14ac:dyDescent="0.2">
      <c r="A6111" t="s">
        <v>5576</v>
      </c>
      <c r="B6111" s="1">
        <v>861884</v>
      </c>
      <c r="C6111" s="1">
        <v>5051</v>
      </c>
      <c r="D6111" s="2">
        <v>42426</v>
      </c>
      <c r="E6111" s="1" t="s">
        <v>18</v>
      </c>
      <c r="F6111" t="str">
        <f>HYPERLINK("http://www.sec.gov/Archives/edgar/data/861884/0001558370-16-003570-index.html")</f>
        <v>http://www.sec.gov/Archives/edgar/data/861884/0001558370-16-003570-index.html</v>
      </c>
    </row>
    <row r="6112" spans="1:6" x14ac:dyDescent="0.2">
      <c r="A6112" t="s">
        <v>5577</v>
      </c>
      <c r="B6112" s="1">
        <v>86521</v>
      </c>
      <c r="C6112" s="1">
        <v>4931</v>
      </c>
      <c r="D6112" s="2">
        <v>42426</v>
      </c>
      <c r="E6112" s="1" t="s">
        <v>18</v>
      </c>
      <c r="F6112" t="str">
        <f>HYPERLINK("http://www.sec.gov/Archives/edgar/data/86521/0000086521-16-000091-index.html")</f>
        <v>http://www.sec.gov/Archives/edgar/data/86521/0000086521-16-000091-index.html</v>
      </c>
    </row>
    <row r="6113" spans="1:6" x14ac:dyDescent="0.2">
      <c r="A6113" t="s">
        <v>5578</v>
      </c>
      <c r="B6113" s="1">
        <v>874015</v>
      </c>
      <c r="C6113" s="1">
        <v>2834</v>
      </c>
      <c r="D6113" s="2">
        <v>42426</v>
      </c>
      <c r="E6113" s="1" t="s">
        <v>18</v>
      </c>
      <c r="F6113" t="str">
        <f>HYPERLINK("http://www.sec.gov/Archives/edgar/data/874015/0000874015-16-000112-index.html")</f>
        <v>http://www.sec.gov/Archives/edgar/data/874015/0000874015-16-000112-index.html</v>
      </c>
    </row>
    <row r="6114" spans="1:6" x14ac:dyDescent="0.2">
      <c r="A6114" t="s">
        <v>5579</v>
      </c>
      <c r="B6114" s="1">
        <v>874766</v>
      </c>
      <c r="C6114" s="1">
        <v>6331</v>
      </c>
      <c r="D6114" s="2">
        <v>42426</v>
      </c>
      <c r="E6114" s="1" t="s">
        <v>18</v>
      </c>
      <c r="F6114" t="str">
        <f>HYPERLINK("http://www.sec.gov/Archives/edgar/data/874766/0000874766-16-000046-index.html")</f>
        <v>http://www.sec.gov/Archives/edgar/data/874766/0000874766-16-000046-index.html</v>
      </c>
    </row>
    <row r="6115" spans="1:6" x14ac:dyDescent="0.2">
      <c r="A6115" t="s">
        <v>5580</v>
      </c>
      <c r="B6115" s="1">
        <v>875159</v>
      </c>
      <c r="C6115" s="1">
        <v>6331</v>
      </c>
      <c r="D6115" s="2">
        <v>42426</v>
      </c>
      <c r="E6115" s="1" t="s">
        <v>18</v>
      </c>
      <c r="F6115" t="str">
        <f>HYPERLINK("http://www.sec.gov/Archives/edgar/data/875159/0000875159-16-000097-index.html")</f>
        <v>http://www.sec.gov/Archives/edgar/data/875159/0000875159-16-000097-index.html</v>
      </c>
    </row>
    <row r="6116" spans="1:6" x14ac:dyDescent="0.2">
      <c r="A6116" t="s">
        <v>5581</v>
      </c>
      <c r="B6116" s="1">
        <v>876437</v>
      </c>
      <c r="C6116" s="1">
        <v>6351</v>
      </c>
      <c r="D6116" s="2">
        <v>42426</v>
      </c>
      <c r="E6116" s="1" t="s">
        <v>18</v>
      </c>
      <c r="F6116" t="str">
        <f>HYPERLINK("http://www.sec.gov/Archives/edgar/data/876437/0000876437-16-000142-index.html")</f>
        <v>http://www.sec.gov/Archives/edgar/data/876437/0000876437-16-000142-index.html</v>
      </c>
    </row>
    <row r="6117" spans="1:6" x14ac:dyDescent="0.2">
      <c r="A6117" t="s">
        <v>5582</v>
      </c>
      <c r="B6117" s="1">
        <v>876883</v>
      </c>
      <c r="C6117" s="1">
        <v>7311</v>
      </c>
      <c r="D6117" s="2">
        <v>42426</v>
      </c>
      <c r="E6117" s="1" t="s">
        <v>18</v>
      </c>
      <c r="F6117" t="str">
        <f>HYPERLINK("http://www.sec.gov/Archives/edgar/data/876883/0001628280-16-011847-index.html")</f>
        <v>http://www.sec.gov/Archives/edgar/data/876883/0001628280-16-011847-index.html</v>
      </c>
    </row>
    <row r="6118" spans="1:6" x14ac:dyDescent="0.2">
      <c r="A6118" t="s">
        <v>5583</v>
      </c>
      <c r="B6118" s="1">
        <v>879101</v>
      </c>
      <c r="C6118" s="1">
        <v>6798</v>
      </c>
      <c r="D6118" s="2">
        <v>42426</v>
      </c>
      <c r="E6118" s="1" t="s">
        <v>18</v>
      </c>
      <c r="F6118" t="str">
        <f>HYPERLINK("http://www.sec.gov/Archives/edgar/data/879101/0001437749-16-026173-index.html")</f>
        <v>http://www.sec.gov/Archives/edgar/data/879101/0001437749-16-026173-index.html</v>
      </c>
    </row>
    <row r="6119" spans="1:6" x14ac:dyDescent="0.2">
      <c r="A6119" t="s">
        <v>5584</v>
      </c>
      <c r="B6119" s="1">
        <v>879526</v>
      </c>
      <c r="C6119" s="1">
        <v>3715</v>
      </c>
      <c r="D6119" s="2">
        <v>42426</v>
      </c>
      <c r="E6119" s="1" t="s">
        <v>18</v>
      </c>
      <c r="F6119" t="str">
        <f>HYPERLINK("http://www.sec.gov/Archives/edgar/data/879526/0001144204-16-084690-index.html")</f>
        <v>http://www.sec.gov/Archives/edgar/data/879526/0001144204-16-084690-index.html</v>
      </c>
    </row>
    <row r="6120" spans="1:6" x14ac:dyDescent="0.2">
      <c r="A6120" t="s">
        <v>5585</v>
      </c>
      <c r="B6120" s="1">
        <v>880116</v>
      </c>
      <c r="C6120" s="1">
        <v>6022</v>
      </c>
      <c r="D6120" s="2">
        <v>42426</v>
      </c>
      <c r="E6120" s="1" t="s">
        <v>18</v>
      </c>
      <c r="F6120" t="str">
        <f>HYPERLINK("http://www.sec.gov/Archives/edgar/data/880116/0001571049-16-012187-index.html")</f>
        <v>http://www.sec.gov/Archives/edgar/data/880116/0001571049-16-012187-index.html</v>
      </c>
    </row>
    <row r="6121" spans="1:6" x14ac:dyDescent="0.2">
      <c r="A6121" t="s">
        <v>5586</v>
      </c>
      <c r="B6121" s="1">
        <v>880266</v>
      </c>
      <c r="C6121" s="1">
        <v>3523</v>
      </c>
      <c r="D6121" s="2">
        <v>42426</v>
      </c>
      <c r="E6121" s="1" t="s">
        <v>18</v>
      </c>
      <c r="F6121" t="str">
        <f>HYPERLINK("http://www.sec.gov/Archives/edgar/data/880266/0000880266-16-000044-index.html")</f>
        <v>http://www.sec.gov/Archives/edgar/data/880266/0000880266-16-000044-index.html</v>
      </c>
    </row>
    <row r="6122" spans="1:6" x14ac:dyDescent="0.2">
      <c r="A6122" t="s">
        <v>5587</v>
      </c>
      <c r="B6122" s="1">
        <v>88205</v>
      </c>
      <c r="C6122" s="1">
        <v>3540</v>
      </c>
      <c r="D6122" s="2">
        <v>42426</v>
      </c>
      <c r="E6122" s="1" t="s">
        <v>18</v>
      </c>
      <c r="F6122" t="str">
        <f>HYPERLINK("http://www.sec.gov/Archives/edgar/data/88205/0000088205-16-000007-index.html")</f>
        <v>http://www.sec.gov/Archives/edgar/data/88205/0000088205-16-000007-index.html</v>
      </c>
    </row>
    <row r="6123" spans="1:6" x14ac:dyDescent="0.2">
      <c r="A6123" t="s">
        <v>5588</v>
      </c>
      <c r="B6123" s="1">
        <v>882796</v>
      </c>
      <c r="C6123" s="1">
        <v>2836</v>
      </c>
      <c r="D6123" s="2">
        <v>42426</v>
      </c>
      <c r="E6123" s="1" t="s">
        <v>18</v>
      </c>
      <c r="F6123" t="str">
        <f>HYPERLINK("http://www.sec.gov/Archives/edgar/data/882796/0001171843-16-008207-index.html")</f>
        <v>http://www.sec.gov/Archives/edgar/data/882796/0001171843-16-008207-index.html</v>
      </c>
    </row>
    <row r="6124" spans="1:6" x14ac:dyDescent="0.2">
      <c r="A6124" t="s">
        <v>5589</v>
      </c>
      <c r="B6124" s="1">
        <v>882835</v>
      </c>
      <c r="C6124" s="1">
        <v>3823</v>
      </c>
      <c r="D6124" s="2">
        <v>42426</v>
      </c>
      <c r="E6124" s="1" t="s">
        <v>18</v>
      </c>
      <c r="F6124" t="str">
        <f>HYPERLINK("http://www.sec.gov/Archives/edgar/data/882835/0000882835-16-000035-index.html")</f>
        <v>http://www.sec.gov/Archives/edgar/data/882835/0000882835-16-000035-index.html</v>
      </c>
    </row>
    <row r="6125" spans="1:6" x14ac:dyDescent="0.2">
      <c r="A6125" t="s">
        <v>5590</v>
      </c>
      <c r="B6125" s="1">
        <v>883984</v>
      </c>
      <c r="C6125" s="1">
        <v>3841</v>
      </c>
      <c r="D6125" s="2">
        <v>42426</v>
      </c>
      <c r="E6125" s="1" t="s">
        <v>18</v>
      </c>
      <c r="F6125" t="str">
        <f>HYPERLINK("http://www.sec.gov/Archives/edgar/data/883984/0000883984-16-000057-index.html")</f>
        <v>http://www.sec.gov/Archives/edgar/data/883984/0000883984-16-000057-index.html</v>
      </c>
    </row>
    <row r="6126" spans="1:6" x14ac:dyDescent="0.2">
      <c r="A6126" t="s">
        <v>393</v>
      </c>
      <c r="B6126" s="1">
        <v>886163</v>
      </c>
      <c r="C6126" s="1">
        <v>2834</v>
      </c>
      <c r="D6126" s="2">
        <v>42426</v>
      </c>
      <c r="E6126" s="1" t="s">
        <v>18</v>
      </c>
      <c r="F6126" t="str">
        <f>HYPERLINK("http://www.sec.gov/Archives/edgar/data/886163/0000886163-16-000149-index.html")</f>
        <v>http://www.sec.gov/Archives/edgar/data/886163/0000886163-16-000149-index.html</v>
      </c>
    </row>
    <row r="6127" spans="1:6" x14ac:dyDescent="0.2">
      <c r="A6127" t="s">
        <v>5591</v>
      </c>
      <c r="B6127" s="1">
        <v>887921</v>
      </c>
      <c r="C6127" s="1">
        <v>2844</v>
      </c>
      <c r="D6127" s="2">
        <v>42426</v>
      </c>
      <c r="E6127" s="1" t="s">
        <v>18</v>
      </c>
      <c r="F6127" t="str">
        <f>HYPERLINK("http://www.sec.gov/Archives/edgar/data/887921/0000887921-16-000017-index.html")</f>
        <v>http://www.sec.gov/Archives/edgar/data/887921/0000887921-16-000017-index.html</v>
      </c>
    </row>
    <row r="6128" spans="1:6" x14ac:dyDescent="0.2">
      <c r="A6128" t="s">
        <v>5592</v>
      </c>
      <c r="B6128" s="1">
        <v>889936</v>
      </c>
      <c r="C6128" s="1">
        <v>6022</v>
      </c>
      <c r="D6128" s="2">
        <v>42426</v>
      </c>
      <c r="E6128" s="1" t="s">
        <v>18</v>
      </c>
      <c r="F6128" t="str">
        <f>HYPERLINK("http://www.sec.gov/Archives/edgar/data/889936/0000889936-16-000135-index.html")</f>
        <v>http://www.sec.gov/Archives/edgar/data/889936/0000889936-16-000135-index.html</v>
      </c>
    </row>
    <row r="6129" spans="1:6" x14ac:dyDescent="0.2">
      <c r="A6129" t="s">
        <v>5593</v>
      </c>
      <c r="B6129" s="1">
        <v>890547</v>
      </c>
      <c r="C6129" s="1">
        <v>2844</v>
      </c>
      <c r="D6129" s="2">
        <v>42426</v>
      </c>
      <c r="E6129" s="1" t="s">
        <v>18</v>
      </c>
      <c r="F6129" t="str">
        <f>HYPERLINK("http://www.sec.gov/Archives/edgar/data/890547/0000890547-16-000014-index.html")</f>
        <v>http://www.sec.gov/Archives/edgar/data/890547/0000890547-16-000014-index.html</v>
      </c>
    </row>
    <row r="6130" spans="1:6" x14ac:dyDescent="0.2">
      <c r="A6130" t="s">
        <v>5594</v>
      </c>
      <c r="B6130" s="1">
        <v>890926</v>
      </c>
      <c r="C6130" s="1">
        <v>6351</v>
      </c>
      <c r="D6130" s="2">
        <v>42426</v>
      </c>
      <c r="E6130" s="1" t="s">
        <v>18</v>
      </c>
      <c r="F6130" t="str">
        <f>HYPERLINK("http://www.sec.gov/Archives/edgar/data/890926/0000890926-16-000092-index.html")</f>
        <v>http://www.sec.gov/Archives/edgar/data/890926/0000890926-16-000092-index.html</v>
      </c>
    </row>
    <row r="6131" spans="1:6" x14ac:dyDescent="0.2">
      <c r="A6131" t="s">
        <v>5595</v>
      </c>
      <c r="B6131" s="1">
        <v>892553</v>
      </c>
      <c r="C6131" s="1">
        <v>3443</v>
      </c>
      <c r="D6131" s="2">
        <v>42426</v>
      </c>
      <c r="E6131" s="1" t="s">
        <v>18</v>
      </c>
      <c r="F6131" t="str">
        <f>HYPERLINK("http://www.sec.gov/Archives/edgar/data/892553/0000892553-16-000049-index.html")</f>
        <v>http://www.sec.gov/Archives/edgar/data/892553/0000892553-16-000049-index.html</v>
      </c>
    </row>
    <row r="6132" spans="1:6" x14ac:dyDescent="0.2">
      <c r="A6132" t="s">
        <v>5596</v>
      </c>
      <c r="B6132" s="1">
        <v>894405</v>
      </c>
      <c r="C6132" s="1">
        <v>4213</v>
      </c>
      <c r="D6132" s="2">
        <v>42426</v>
      </c>
      <c r="E6132" s="1" t="s">
        <v>18</v>
      </c>
      <c r="F6132" t="str">
        <f>HYPERLINK("http://www.sec.gov/Archives/edgar/data/894405/0001558370-16-003625-index.html")</f>
        <v>http://www.sec.gov/Archives/edgar/data/894405/0001558370-16-003625-index.html</v>
      </c>
    </row>
    <row r="6133" spans="1:6" x14ac:dyDescent="0.2">
      <c r="A6133" t="s">
        <v>5597</v>
      </c>
      <c r="B6133" s="1">
        <v>895655</v>
      </c>
      <c r="C6133" s="1">
        <v>5190</v>
      </c>
      <c r="D6133" s="2">
        <v>42426</v>
      </c>
      <c r="E6133" s="1" t="s">
        <v>18</v>
      </c>
      <c r="F6133" t="str">
        <f>HYPERLINK("http://www.sec.gov/Archives/edgar/data/895655/0001193125-16-482215-index.html")</f>
        <v>http://www.sec.gov/Archives/edgar/data/895655/0001193125-16-482215-index.html</v>
      </c>
    </row>
    <row r="6134" spans="1:6" x14ac:dyDescent="0.2">
      <c r="A6134" t="s">
        <v>5598</v>
      </c>
      <c r="B6134" s="1">
        <v>896159</v>
      </c>
      <c r="C6134" s="1">
        <v>6331</v>
      </c>
      <c r="D6134" s="2">
        <v>42426</v>
      </c>
      <c r="E6134" s="1" t="s">
        <v>18</v>
      </c>
      <c r="F6134" t="str">
        <f>HYPERLINK("http://www.sec.gov/Archives/edgar/data/896159/0000896159-16-000027-index.html")</f>
        <v>http://www.sec.gov/Archives/edgar/data/896159/0000896159-16-000027-index.html</v>
      </c>
    </row>
    <row r="6135" spans="1:6" x14ac:dyDescent="0.2">
      <c r="A6135" t="s">
        <v>5599</v>
      </c>
      <c r="B6135" s="1">
        <v>898173</v>
      </c>
      <c r="C6135" s="1">
        <v>5531</v>
      </c>
      <c r="D6135" s="2">
        <v>42426</v>
      </c>
      <c r="E6135" s="1" t="s">
        <v>18</v>
      </c>
      <c r="F6135" t="str">
        <f>HYPERLINK("http://www.sec.gov/Archives/edgar/data/898173/0000898173-16-000276-index.html")</f>
        <v>http://www.sec.gov/Archives/edgar/data/898173/0000898173-16-000276-index.html</v>
      </c>
    </row>
    <row r="6136" spans="1:6" x14ac:dyDescent="0.2">
      <c r="A6136" t="s">
        <v>5600</v>
      </c>
      <c r="B6136" s="1">
        <v>903127</v>
      </c>
      <c r="C6136" s="1">
        <v>6798</v>
      </c>
      <c r="D6136" s="2">
        <v>42426</v>
      </c>
      <c r="E6136" s="1" t="s">
        <v>18</v>
      </c>
      <c r="F6136" t="str">
        <f>HYPERLINK("http://www.sec.gov/Archives/edgar/data/903127/0001564590-16-013528-index.html")</f>
        <v>http://www.sec.gov/Archives/edgar/data/903127/0001564590-16-013528-index.html</v>
      </c>
    </row>
    <row r="6137" spans="1:6" x14ac:dyDescent="0.2">
      <c r="A6137" t="s">
        <v>5601</v>
      </c>
      <c r="B6137" s="1">
        <v>904080</v>
      </c>
      <c r="C6137" s="1">
        <v>1311</v>
      </c>
      <c r="D6137" s="2">
        <v>42426</v>
      </c>
      <c r="E6137" s="1" t="s">
        <v>18</v>
      </c>
      <c r="F6137" t="str">
        <f>HYPERLINK("http://www.sec.gov/Archives/edgar/data/904080/0000904080-16-000030-index.html")</f>
        <v>http://www.sec.gov/Archives/edgar/data/904080/0000904080-16-000030-index.html</v>
      </c>
    </row>
    <row r="6138" spans="1:6" x14ac:dyDescent="0.2">
      <c r="A6138" t="s">
        <v>5602</v>
      </c>
      <c r="B6138" s="1">
        <v>9092</v>
      </c>
      <c r="C6138" s="1">
        <v>3824</v>
      </c>
      <c r="D6138" s="2">
        <v>42426</v>
      </c>
      <c r="E6138" s="1" t="s">
        <v>18</v>
      </c>
      <c r="F6138" t="str">
        <f>HYPERLINK("http://www.sec.gov/Archives/edgar/data/9092/0000009092-16-000015-index.html")</f>
        <v>http://www.sec.gov/Archives/edgar/data/9092/0000009092-16-000015-index.html</v>
      </c>
    </row>
    <row r="6139" spans="1:6" x14ac:dyDescent="0.2">
      <c r="A6139" t="s">
        <v>5603</v>
      </c>
      <c r="B6139" s="1">
        <v>909791</v>
      </c>
      <c r="C6139" s="1">
        <v>3559</v>
      </c>
      <c r="D6139" s="2">
        <v>42426</v>
      </c>
      <c r="E6139" s="1" t="s">
        <v>18</v>
      </c>
      <c r="F6139" t="str">
        <f>HYPERLINK("http://www.sec.gov/Archives/edgar/data/909791/0000909791-16-000055-index.html")</f>
        <v>http://www.sec.gov/Archives/edgar/data/909791/0000909791-16-000055-index.html</v>
      </c>
    </row>
    <row r="6140" spans="1:6" x14ac:dyDescent="0.2">
      <c r="A6140" t="s">
        <v>5604</v>
      </c>
      <c r="B6140" s="1">
        <v>912595</v>
      </c>
      <c r="C6140" s="1">
        <v>6798</v>
      </c>
      <c r="D6140" s="2">
        <v>42426</v>
      </c>
      <c r="E6140" s="1" t="s">
        <v>18</v>
      </c>
      <c r="F6140" t="str">
        <f>HYPERLINK("http://www.sec.gov/Archives/edgar/data/912595/0000912595-16-000032-index.html")</f>
        <v>http://www.sec.gov/Archives/edgar/data/912595/0000912595-16-000032-index.html</v>
      </c>
    </row>
    <row r="6141" spans="1:6" x14ac:dyDescent="0.2">
      <c r="A6141" t="s">
        <v>5605</v>
      </c>
      <c r="B6141" s="1">
        <v>912752</v>
      </c>
      <c r="C6141" s="1">
        <v>4833</v>
      </c>
      <c r="D6141" s="2">
        <v>42426</v>
      </c>
      <c r="E6141" s="1" t="s">
        <v>18</v>
      </c>
      <c r="F6141" t="str">
        <f>HYPERLINK("http://www.sec.gov/Archives/edgar/data/912752/0000912752-16-000020-index.html")</f>
        <v>http://www.sec.gov/Archives/edgar/data/912752/0000912752-16-000020-index.html</v>
      </c>
    </row>
    <row r="6142" spans="1:6" x14ac:dyDescent="0.2">
      <c r="A6142" t="s">
        <v>5606</v>
      </c>
      <c r="B6142" s="1">
        <v>913241</v>
      </c>
      <c r="C6142" s="1">
        <v>3140</v>
      </c>
      <c r="D6142" s="2">
        <v>42426</v>
      </c>
      <c r="E6142" s="1" t="s">
        <v>18</v>
      </c>
      <c r="F6142" t="str">
        <f>HYPERLINK("http://www.sec.gov/Archives/edgar/data/913241/0001628280-16-011839-index.html")</f>
        <v>http://www.sec.gov/Archives/edgar/data/913241/0001628280-16-011839-index.html</v>
      </c>
    </row>
    <row r="6143" spans="1:6" x14ac:dyDescent="0.2">
      <c r="A6143" t="s">
        <v>5607</v>
      </c>
      <c r="B6143" s="1">
        <v>915912</v>
      </c>
      <c r="C6143" s="1">
        <v>6798</v>
      </c>
      <c r="D6143" s="2">
        <v>42426</v>
      </c>
      <c r="E6143" s="1" t="s">
        <v>18</v>
      </c>
      <c r="F6143" t="str">
        <f>HYPERLINK("http://www.sec.gov/Archives/edgar/data/915912/0000915912-16-000024-index.html")</f>
        <v>http://www.sec.gov/Archives/edgar/data/915912/0000915912-16-000024-index.html</v>
      </c>
    </row>
    <row r="6144" spans="1:6" x14ac:dyDescent="0.2">
      <c r="A6144" t="s">
        <v>5608</v>
      </c>
      <c r="B6144" s="1">
        <v>917520</v>
      </c>
      <c r="C6144" s="1">
        <v>3826</v>
      </c>
      <c r="D6144" s="2">
        <v>42426</v>
      </c>
      <c r="E6144" s="1" t="s">
        <v>18</v>
      </c>
      <c r="F6144" t="str">
        <f>HYPERLINK("http://www.sec.gov/Archives/edgar/data/917520/0000917520-16-000073-index.html")</f>
        <v>http://www.sec.gov/Archives/edgar/data/917520/0000917520-16-000073-index.html</v>
      </c>
    </row>
    <row r="6145" spans="1:6" x14ac:dyDescent="0.2">
      <c r="A6145" t="s">
        <v>5609</v>
      </c>
      <c r="B6145" s="1">
        <v>91882</v>
      </c>
      <c r="C6145" s="1">
        <v>4931</v>
      </c>
      <c r="D6145" s="2">
        <v>42426</v>
      </c>
      <c r="E6145" s="1" t="s">
        <v>18</v>
      </c>
      <c r="F6145" t="str">
        <f>HYPERLINK("http://www.sec.gov/Archives/edgar/data/91882/0000754737-16-000089-index.html")</f>
        <v>http://www.sec.gov/Archives/edgar/data/91882/0000754737-16-000089-index.html</v>
      </c>
    </row>
    <row r="6146" spans="1:6" x14ac:dyDescent="0.2">
      <c r="A6146" t="s">
        <v>5610</v>
      </c>
      <c r="B6146" s="1">
        <v>920321</v>
      </c>
      <c r="C6146" s="1">
        <v>2670</v>
      </c>
      <c r="D6146" s="2">
        <v>42426</v>
      </c>
      <c r="E6146" s="1" t="s">
        <v>18</v>
      </c>
      <c r="F6146" t="str">
        <f>HYPERLINK("http://www.sec.gov/Archives/edgar/data/920321/0000920321-16-000112-index.html")</f>
        <v>http://www.sec.gov/Archives/edgar/data/920321/0000920321-16-000112-index.html</v>
      </c>
    </row>
    <row r="6147" spans="1:6" x14ac:dyDescent="0.2">
      <c r="A6147" t="s">
        <v>5611</v>
      </c>
      <c r="B6147" s="1">
        <v>920522</v>
      </c>
      <c r="C6147" s="1">
        <v>6798</v>
      </c>
      <c r="D6147" s="2">
        <v>42426</v>
      </c>
      <c r="E6147" s="1" t="s">
        <v>18</v>
      </c>
      <c r="F6147" t="str">
        <f>HYPERLINK("http://www.sec.gov/Archives/edgar/data/920522/0000920522-16-000097-index.html")</f>
        <v>http://www.sec.gov/Archives/edgar/data/920522/0000920522-16-000097-index.html</v>
      </c>
    </row>
    <row r="6148" spans="1:6" x14ac:dyDescent="0.2">
      <c r="A6148" t="s">
        <v>5612</v>
      </c>
      <c r="B6148" s="1">
        <v>92108</v>
      </c>
      <c r="C6148" s="1">
        <v>4922</v>
      </c>
      <c r="D6148" s="2">
        <v>42426</v>
      </c>
      <c r="E6148" s="1" t="s">
        <v>18</v>
      </c>
      <c r="F6148" t="str">
        <f>HYPERLINK("http://www.sec.gov/Archives/edgar/data/92108/0000086521-16-000091-index.html")</f>
        <v>http://www.sec.gov/Archives/edgar/data/92108/0000086521-16-000091-index.html</v>
      </c>
    </row>
    <row r="6149" spans="1:6" x14ac:dyDescent="0.2">
      <c r="A6149" t="s">
        <v>5613</v>
      </c>
      <c r="B6149" s="1">
        <v>921112</v>
      </c>
      <c r="C6149" s="1">
        <v>6798</v>
      </c>
      <c r="D6149" s="2">
        <v>42426</v>
      </c>
      <c r="E6149" s="1" t="s">
        <v>18</v>
      </c>
      <c r="F6149" t="str">
        <f>HYPERLINK("http://www.sec.gov/Archives/edgar/data/921112/0001628280-16-011773-index.html")</f>
        <v>http://www.sec.gov/Archives/edgar/data/921112/0001628280-16-011773-index.html</v>
      </c>
    </row>
    <row r="6150" spans="1:6" x14ac:dyDescent="0.2">
      <c r="A6150" t="s">
        <v>5614</v>
      </c>
      <c r="B6150" s="1">
        <v>921113</v>
      </c>
      <c r="C6150" s="1">
        <v>6500</v>
      </c>
      <c r="D6150" s="2">
        <v>42426</v>
      </c>
      <c r="E6150" s="1" t="s">
        <v>18</v>
      </c>
      <c r="F6150" t="str">
        <f>HYPERLINK("http://www.sec.gov/Archives/edgar/data/921113/0001628280-16-011773-index.html")</f>
        <v>http://www.sec.gov/Archives/edgar/data/921113/0001628280-16-011773-index.html</v>
      </c>
    </row>
    <row r="6151" spans="1:6" x14ac:dyDescent="0.2">
      <c r="A6151" t="s">
        <v>5615</v>
      </c>
      <c r="B6151" s="1">
        <v>92122</v>
      </c>
      <c r="C6151" s="1">
        <v>4911</v>
      </c>
      <c r="D6151" s="2">
        <v>42426</v>
      </c>
      <c r="E6151" s="1" t="s">
        <v>18</v>
      </c>
      <c r="F6151" t="str">
        <f>HYPERLINK("http://www.sec.gov/Archives/edgar/data/92122/0000092122-16-000126-index.html")</f>
        <v>http://www.sec.gov/Archives/edgar/data/92122/0000092122-16-000126-index.html</v>
      </c>
    </row>
    <row r="6152" spans="1:6" x14ac:dyDescent="0.2">
      <c r="A6152" t="s">
        <v>5616</v>
      </c>
      <c r="B6152" s="1">
        <v>923284</v>
      </c>
      <c r="C6152" s="1">
        <v>6798</v>
      </c>
      <c r="D6152" s="2">
        <v>42426</v>
      </c>
      <c r="E6152" s="1" t="s">
        <v>18</v>
      </c>
      <c r="F6152" t="str">
        <f>HYPERLINK("http://www.sec.gov/Archives/edgar/data/923284/0000923284-16-000069-index.html")</f>
        <v>http://www.sec.gov/Archives/edgar/data/923284/0000923284-16-000069-index.html</v>
      </c>
    </row>
    <row r="6153" spans="1:6" x14ac:dyDescent="0.2">
      <c r="A6153" t="s">
        <v>5617</v>
      </c>
      <c r="B6153" s="1">
        <v>923603</v>
      </c>
      <c r="C6153" s="1">
        <v>6798</v>
      </c>
      <c r="D6153" s="2">
        <v>42426</v>
      </c>
      <c r="E6153" s="1" t="s">
        <v>18</v>
      </c>
      <c r="F6153" t="str">
        <f>HYPERLINK("http://www.sec.gov/Archives/edgar/data/923603/0000923603-16-000069-index.html")</f>
        <v>http://www.sec.gov/Archives/edgar/data/923603/0000923603-16-000069-index.html</v>
      </c>
    </row>
    <row r="6154" spans="1:6" x14ac:dyDescent="0.2">
      <c r="A6154" t="s">
        <v>5618</v>
      </c>
      <c r="B6154" s="1">
        <v>923796</v>
      </c>
      <c r="C6154" s="1">
        <v>6798</v>
      </c>
      <c r="D6154" s="2">
        <v>42426</v>
      </c>
      <c r="E6154" s="1" t="s">
        <v>18</v>
      </c>
      <c r="F6154" t="str">
        <f>HYPERLINK("http://www.sec.gov/Archives/edgar/data/923796/0001193125-16-478864-index.html")</f>
        <v>http://www.sec.gov/Archives/edgar/data/923796/0001193125-16-478864-index.html</v>
      </c>
    </row>
    <row r="6155" spans="1:6" x14ac:dyDescent="0.2">
      <c r="A6155" t="s">
        <v>5619</v>
      </c>
      <c r="B6155" s="1">
        <v>926326</v>
      </c>
      <c r="C6155" s="1">
        <v>3571</v>
      </c>
      <c r="D6155" s="2">
        <v>42426</v>
      </c>
      <c r="E6155" s="1" t="s">
        <v>18</v>
      </c>
      <c r="F6155" t="str">
        <f>HYPERLINK("http://www.sec.gov/Archives/edgar/data/926326/0000926326-16-000044-index.html")</f>
        <v>http://www.sec.gov/Archives/edgar/data/926326/0000926326-16-000044-index.html</v>
      </c>
    </row>
    <row r="6156" spans="1:6" x14ac:dyDescent="0.2">
      <c r="A6156" t="s">
        <v>5620</v>
      </c>
      <c r="B6156" s="1">
        <v>927066</v>
      </c>
      <c r="C6156" s="1">
        <v>8090</v>
      </c>
      <c r="D6156" s="2">
        <v>42426</v>
      </c>
      <c r="E6156" s="1" t="s">
        <v>18</v>
      </c>
      <c r="F6156" t="str">
        <f>HYPERLINK("http://www.sec.gov/Archives/edgar/data/927066/0001564590-16-013587-index.html")</f>
        <v>http://www.sec.gov/Archives/edgar/data/927066/0001564590-16-013587-index.html</v>
      </c>
    </row>
    <row r="6157" spans="1:6" x14ac:dyDescent="0.2">
      <c r="A6157" t="s">
        <v>5621</v>
      </c>
      <c r="B6157" s="1">
        <v>930236</v>
      </c>
      <c r="C6157" s="1">
        <v>6798</v>
      </c>
      <c r="D6157" s="2">
        <v>42426</v>
      </c>
      <c r="E6157" s="1" t="s">
        <v>18</v>
      </c>
      <c r="F6157" t="str">
        <f>HYPERLINK("http://www.sec.gov/Archives/edgar/data/930236/0000930236-16-000038-index.html")</f>
        <v>http://www.sec.gov/Archives/edgar/data/930236/0000930236-16-000038-index.html</v>
      </c>
    </row>
    <row r="6158" spans="1:6" x14ac:dyDescent="0.2">
      <c r="A6158" t="s">
        <v>5622</v>
      </c>
      <c r="B6158" s="1">
        <v>930420</v>
      </c>
      <c r="C6158" s="1">
        <v>7363</v>
      </c>
      <c r="D6158" s="2">
        <v>42426</v>
      </c>
      <c r="E6158" s="1" t="s">
        <v>18</v>
      </c>
      <c r="F6158" t="str">
        <f>HYPERLINK("http://www.sec.gov/Archives/edgar/data/930420/0000930420-16-000355-index.html")</f>
        <v>http://www.sec.gov/Archives/edgar/data/930420/0000930420-16-000355-index.html</v>
      </c>
    </row>
    <row r="6159" spans="1:6" x14ac:dyDescent="0.2">
      <c r="A6159" t="s">
        <v>5623</v>
      </c>
      <c r="B6159" s="1">
        <v>93389</v>
      </c>
      <c r="C6159" s="1">
        <v>3714</v>
      </c>
      <c r="D6159" s="2">
        <v>42426</v>
      </c>
      <c r="E6159" s="1" t="s">
        <v>18</v>
      </c>
      <c r="F6159" t="str">
        <f>HYPERLINK("http://www.sec.gov/Archives/edgar/data/93389/0001140361-16-055160-index.html")</f>
        <v>http://www.sec.gov/Archives/edgar/data/93389/0001140361-16-055160-index.html</v>
      </c>
    </row>
    <row r="6160" spans="1:6" x14ac:dyDescent="0.2">
      <c r="A6160" t="s">
        <v>5624</v>
      </c>
      <c r="B6160" s="1">
        <v>935036</v>
      </c>
      <c r="C6160" s="1">
        <v>7372</v>
      </c>
      <c r="D6160" s="2">
        <v>42426</v>
      </c>
      <c r="E6160" s="1" t="s">
        <v>18</v>
      </c>
      <c r="F6160" t="str">
        <f>HYPERLINK("http://www.sec.gov/Archives/edgar/data/935036/0001193125-16-481404-index.html")</f>
        <v>http://www.sec.gov/Archives/edgar/data/935036/0001193125-16-481404-index.html</v>
      </c>
    </row>
    <row r="6161" spans="1:6" x14ac:dyDescent="0.2">
      <c r="A6161" t="s">
        <v>5625</v>
      </c>
      <c r="B6161" s="1">
        <v>940942</v>
      </c>
      <c r="C6161" s="1">
        <v>4731</v>
      </c>
      <c r="D6161" s="2">
        <v>42426</v>
      </c>
      <c r="E6161" s="1" t="s">
        <v>18</v>
      </c>
      <c r="F6161" t="str">
        <f>HYPERLINK("http://www.sec.gov/Archives/edgar/data/940942/0001564590-16-013549-index.html")</f>
        <v>http://www.sec.gov/Archives/edgar/data/940942/0001564590-16-013549-index.html</v>
      </c>
    </row>
    <row r="6162" spans="1:6" x14ac:dyDescent="0.2">
      <c r="A6162" t="s">
        <v>5626</v>
      </c>
      <c r="B6162" s="1">
        <v>94344</v>
      </c>
      <c r="C6162" s="1">
        <v>6361</v>
      </c>
      <c r="D6162" s="2">
        <v>42426</v>
      </c>
      <c r="E6162" s="1" t="s">
        <v>18</v>
      </c>
      <c r="F6162" t="str">
        <f>HYPERLINK("http://www.sec.gov/Archives/edgar/data/94344/0000094344-16-000011-index.html")</f>
        <v>http://www.sec.gov/Archives/edgar/data/94344/0000094344-16-000011-index.html</v>
      </c>
    </row>
    <row r="6163" spans="1:6" x14ac:dyDescent="0.2">
      <c r="A6163" t="s">
        <v>5627</v>
      </c>
      <c r="B6163" s="1">
        <v>945764</v>
      </c>
      <c r="C6163" s="1">
        <v>1311</v>
      </c>
      <c r="D6163" s="2">
        <v>42426</v>
      </c>
      <c r="E6163" s="1" t="s">
        <v>18</v>
      </c>
      <c r="F6163" t="str">
        <f>HYPERLINK("http://www.sec.gov/Archives/edgar/data/945764/0000945764-16-000092-index.html")</f>
        <v>http://www.sec.gov/Archives/edgar/data/945764/0000945764-16-000092-index.html</v>
      </c>
    </row>
    <row r="6164" spans="1:6" x14ac:dyDescent="0.2">
      <c r="A6164" t="s">
        <v>5628</v>
      </c>
      <c r="B6164" s="1">
        <v>945841</v>
      </c>
      <c r="C6164" s="1">
        <v>5090</v>
      </c>
      <c r="D6164" s="2">
        <v>42426</v>
      </c>
      <c r="E6164" s="1" t="s">
        <v>18</v>
      </c>
      <c r="F6164" t="str">
        <f>HYPERLINK("http://www.sec.gov/Archives/edgar/data/945841/0000945841-16-000190-index.html")</f>
        <v>http://www.sec.gov/Archives/edgar/data/945841/0000945841-16-000190-index.html</v>
      </c>
    </row>
    <row r="6165" spans="1:6" x14ac:dyDescent="0.2">
      <c r="A6165" t="s">
        <v>5629</v>
      </c>
      <c r="B6165" s="1">
        <v>947484</v>
      </c>
      <c r="C6165" s="1">
        <v>6331</v>
      </c>
      <c r="D6165" s="2">
        <v>42426</v>
      </c>
      <c r="E6165" s="1" t="s">
        <v>18</v>
      </c>
      <c r="F6165" t="str">
        <f>HYPERLINK("http://www.sec.gov/Archives/edgar/data/947484/0000947484-16-000043-index.html")</f>
        <v>http://www.sec.gov/Archives/edgar/data/947484/0000947484-16-000043-index.html</v>
      </c>
    </row>
    <row r="6166" spans="1:6" x14ac:dyDescent="0.2">
      <c r="A6166" t="s">
        <v>5630</v>
      </c>
      <c r="B6166" s="1">
        <v>96271</v>
      </c>
      <c r="C6166" s="1">
        <v>4911</v>
      </c>
      <c r="D6166" s="2">
        <v>42426</v>
      </c>
      <c r="E6166" s="1" t="s">
        <v>18</v>
      </c>
      <c r="F6166" t="str">
        <f>HYPERLINK("http://www.sec.gov/Archives/edgar/data/96271/0001564590-16-013516-index.html")</f>
        <v>http://www.sec.gov/Archives/edgar/data/96271/0001564590-16-013516-index.html</v>
      </c>
    </row>
    <row r="6167" spans="1:6" x14ac:dyDescent="0.2">
      <c r="A6167" t="s">
        <v>5631</v>
      </c>
      <c r="B6167" s="1">
        <v>98677</v>
      </c>
      <c r="C6167" s="1">
        <v>2060</v>
      </c>
      <c r="D6167" s="2">
        <v>42426</v>
      </c>
      <c r="E6167" s="1" t="s">
        <v>18</v>
      </c>
      <c r="F6167" t="str">
        <f>HYPERLINK("http://www.sec.gov/Archives/edgar/data/98677/0001558370-16-003574-index.html")</f>
        <v>http://www.sec.gov/Archives/edgar/data/98677/0001558370-16-003574-index.html</v>
      </c>
    </row>
    <row r="6168" spans="1:6" x14ac:dyDescent="0.2">
      <c r="A6168" t="s">
        <v>5475</v>
      </c>
      <c r="B6168" s="1">
        <v>19612</v>
      </c>
      <c r="C6168" s="1">
        <v>6022</v>
      </c>
      <c r="D6168" s="2">
        <v>42426</v>
      </c>
      <c r="E6168" s="1" t="s">
        <v>18</v>
      </c>
      <c r="F6168" t="str">
        <f>HYPERLINK("http://www.sec.gov/Archives/edgar/data/19612/0000019612-16-000101-index.html")</f>
        <v>http://www.sec.gov/Archives/edgar/data/19612/0000019612-16-000101-index.html</v>
      </c>
    </row>
    <row r="6169" spans="1:6" x14ac:dyDescent="0.2">
      <c r="A6169" t="s">
        <v>5237</v>
      </c>
      <c r="B6169" s="1">
        <v>1021635</v>
      </c>
      <c r="C6169" s="1">
        <v>4911</v>
      </c>
      <c r="D6169" s="2">
        <v>42426</v>
      </c>
      <c r="E6169" s="1" t="s">
        <v>18</v>
      </c>
      <c r="F6169" t="str">
        <f>HYPERLINK("http://www.sec.gov/Archives/edgar/data/1021635/0001021635-16-000172-index.html")</f>
        <v>http://www.sec.gov/Archives/edgar/data/1021635/0001021635-16-000172-index.html</v>
      </c>
    </row>
    <row r="6170" spans="1:6" x14ac:dyDescent="0.2">
      <c r="A6170" t="s">
        <v>5632</v>
      </c>
      <c r="B6170" s="1">
        <v>1004434</v>
      </c>
      <c r="C6170" s="1">
        <v>6282</v>
      </c>
      <c r="D6170" s="2">
        <v>42425</v>
      </c>
      <c r="E6170" s="1" t="s">
        <v>18</v>
      </c>
      <c r="F6170" t="str">
        <f>HYPERLINK("http://www.sec.gov/Archives/edgar/data/1004434/0001004434-16-000035-index.html")</f>
        <v>http://www.sec.gov/Archives/edgar/data/1004434/0001004434-16-000035-index.html</v>
      </c>
    </row>
    <row r="6171" spans="1:6" x14ac:dyDescent="0.2">
      <c r="A6171" t="s">
        <v>5633</v>
      </c>
      <c r="B6171" s="1">
        <v>1005284</v>
      </c>
      <c r="C6171" s="1">
        <v>3670</v>
      </c>
      <c r="D6171" s="2">
        <v>42425</v>
      </c>
      <c r="E6171" s="1" t="s">
        <v>18</v>
      </c>
      <c r="F6171" t="str">
        <f>HYPERLINK("http://www.sec.gov/Archives/edgar/data/1005284/0001005284-16-000136-index.html")</f>
        <v>http://www.sec.gov/Archives/edgar/data/1005284/0001005284-16-000136-index.html</v>
      </c>
    </row>
    <row r="6172" spans="1:6" x14ac:dyDescent="0.2">
      <c r="A6172" t="s">
        <v>5634</v>
      </c>
      <c r="B6172" s="1">
        <v>1011509</v>
      </c>
      <c r="C6172" s="1">
        <v>1040</v>
      </c>
      <c r="D6172" s="2">
        <v>42425</v>
      </c>
      <c r="E6172" s="1" t="s">
        <v>18</v>
      </c>
      <c r="F6172" t="str">
        <f>HYPERLINK("http://www.sec.gov/Archives/edgar/data/1011509/0001104659-16-100057-index.html")</f>
        <v>http://www.sec.gov/Archives/edgar/data/1011509/0001104659-16-100057-index.html</v>
      </c>
    </row>
    <row r="6173" spans="1:6" x14ac:dyDescent="0.2">
      <c r="A6173" t="s">
        <v>5635</v>
      </c>
      <c r="B6173" s="1">
        <v>1013462</v>
      </c>
      <c r="C6173" s="1">
        <v>7372</v>
      </c>
      <c r="D6173" s="2">
        <v>42425</v>
      </c>
      <c r="E6173" s="1" t="s">
        <v>18</v>
      </c>
      <c r="F6173" t="str">
        <f>HYPERLINK("http://www.sec.gov/Archives/edgar/data/1013462/0001013462-16-000017-index.html")</f>
        <v>http://www.sec.gov/Archives/edgar/data/1013462/0001013462-16-000017-index.html</v>
      </c>
    </row>
    <row r="6174" spans="1:6" x14ac:dyDescent="0.2">
      <c r="A6174" t="s">
        <v>5636</v>
      </c>
      <c r="B6174" s="1">
        <v>101382</v>
      </c>
      <c r="C6174" s="1">
        <v>6021</v>
      </c>
      <c r="D6174" s="2">
        <v>42425</v>
      </c>
      <c r="E6174" s="1" t="s">
        <v>18</v>
      </c>
      <c r="F6174" t="str">
        <f>HYPERLINK("http://www.sec.gov/Archives/edgar/data/101382/0001193125-16-477882-index.html")</f>
        <v>http://www.sec.gov/Archives/edgar/data/101382/0001193125-16-477882-index.html</v>
      </c>
    </row>
    <row r="6175" spans="1:6" x14ac:dyDescent="0.2">
      <c r="A6175" t="s">
        <v>5637</v>
      </c>
      <c r="B6175" s="1">
        <v>1013857</v>
      </c>
      <c r="C6175" s="1">
        <v>7374</v>
      </c>
      <c r="D6175" s="2">
        <v>42425</v>
      </c>
      <c r="E6175" s="1" t="s">
        <v>18</v>
      </c>
      <c r="F6175" t="str">
        <f>HYPERLINK("http://www.sec.gov/Archives/edgar/data/1013857/0001193125-16-478369-index.html")</f>
        <v>http://www.sec.gov/Archives/edgar/data/1013857/0001193125-16-478369-index.html</v>
      </c>
    </row>
    <row r="6176" spans="1:6" x14ac:dyDescent="0.2">
      <c r="A6176" t="s">
        <v>5638</v>
      </c>
      <c r="B6176" s="1">
        <v>101778</v>
      </c>
      <c r="C6176" s="1">
        <v>1311</v>
      </c>
      <c r="D6176" s="2">
        <v>42425</v>
      </c>
      <c r="E6176" s="1" t="s">
        <v>18</v>
      </c>
      <c r="F6176" t="str">
        <f>HYPERLINK("http://www.sec.gov/Archives/edgar/data/101778/0000101778-16-000047-index.html")</f>
        <v>http://www.sec.gov/Archives/edgar/data/101778/0000101778-16-000047-index.html</v>
      </c>
    </row>
    <row r="6177" spans="1:6" x14ac:dyDescent="0.2">
      <c r="A6177" t="s">
        <v>5639</v>
      </c>
      <c r="B6177" s="1">
        <v>1019849</v>
      </c>
      <c r="C6177" s="1">
        <v>5500</v>
      </c>
      <c r="D6177" s="2">
        <v>42425</v>
      </c>
      <c r="E6177" s="1" t="s">
        <v>18</v>
      </c>
      <c r="F6177" t="str">
        <f>HYPERLINK("http://www.sec.gov/Archives/edgar/data/1019849/0001558370-16-003547-index.html")</f>
        <v>http://www.sec.gov/Archives/edgar/data/1019849/0001558370-16-003547-index.html</v>
      </c>
    </row>
    <row r="6178" spans="1:6" x14ac:dyDescent="0.2">
      <c r="A6178" t="s">
        <v>5640</v>
      </c>
      <c r="B6178" s="1">
        <v>103145</v>
      </c>
      <c r="C6178" s="1">
        <v>3559</v>
      </c>
      <c r="D6178" s="2">
        <v>42425</v>
      </c>
      <c r="E6178" s="1" t="s">
        <v>18</v>
      </c>
      <c r="F6178" t="str">
        <f>HYPERLINK("http://www.sec.gov/Archives/edgar/data/103145/0001104659-16-100036-index.html")</f>
        <v>http://www.sec.gov/Archives/edgar/data/103145/0001104659-16-100036-index.html</v>
      </c>
    </row>
    <row r="6179" spans="1:6" x14ac:dyDescent="0.2">
      <c r="A6179" t="s">
        <v>5641</v>
      </c>
      <c r="B6179" s="1">
        <v>1033128</v>
      </c>
      <c r="C6179" s="1">
        <v>6798</v>
      </c>
      <c r="D6179" s="2">
        <v>42425</v>
      </c>
      <c r="E6179" s="1" t="s">
        <v>18</v>
      </c>
      <c r="F6179" t="str">
        <f>HYPERLINK("http://www.sec.gov/Archives/edgar/data/1033128/0000921825-16-000037-index.html")</f>
        <v>http://www.sec.gov/Archives/edgar/data/1033128/0000921825-16-000037-index.html</v>
      </c>
    </row>
    <row r="6180" spans="1:6" x14ac:dyDescent="0.2">
      <c r="A6180" t="s">
        <v>5642</v>
      </c>
      <c r="B6180" s="1">
        <v>1033905</v>
      </c>
      <c r="C6180" s="1">
        <v>3841</v>
      </c>
      <c r="D6180" s="2">
        <v>42425</v>
      </c>
      <c r="E6180" s="1" t="s">
        <v>18</v>
      </c>
      <c r="F6180" t="str">
        <f>HYPERLINK("http://www.sec.gov/Archives/edgar/data/1033905/0001033905-16-000128-index.html")</f>
        <v>http://www.sec.gov/Archives/edgar/data/1033905/0001033905-16-000128-index.html</v>
      </c>
    </row>
    <row r="6181" spans="1:6" x14ac:dyDescent="0.2">
      <c r="A6181" t="s">
        <v>5643</v>
      </c>
      <c r="B6181" s="1">
        <v>1035002</v>
      </c>
      <c r="C6181" s="1">
        <v>2911</v>
      </c>
      <c r="D6181" s="2">
        <v>42425</v>
      </c>
      <c r="E6181" s="1" t="s">
        <v>18</v>
      </c>
      <c r="F6181" t="str">
        <f>HYPERLINK("http://www.sec.gov/Archives/edgar/data/1035002/0001035002-16-000069-index.html")</f>
        <v>http://www.sec.gov/Archives/edgar/data/1035002/0001035002-16-000069-index.html</v>
      </c>
    </row>
    <row r="6182" spans="1:6" x14ac:dyDescent="0.2">
      <c r="A6182" t="s">
        <v>5644</v>
      </c>
      <c r="B6182" s="1">
        <v>1035201</v>
      </c>
      <c r="C6182" s="1">
        <v>4941</v>
      </c>
      <c r="D6182" s="2">
        <v>42425</v>
      </c>
      <c r="E6182" s="1" t="s">
        <v>18</v>
      </c>
      <c r="F6182" t="str">
        <f>HYPERLINK("http://www.sec.gov/Archives/edgar/data/1035201/0001035201-16-000009-index.html")</f>
        <v>http://www.sec.gov/Archives/edgar/data/1035201/0001035201-16-000009-index.html</v>
      </c>
    </row>
    <row r="6183" spans="1:6" x14ac:dyDescent="0.2">
      <c r="A6183" t="s">
        <v>5645</v>
      </c>
      <c r="B6183" s="1">
        <v>1035748</v>
      </c>
      <c r="C6183" s="1">
        <v>7371</v>
      </c>
      <c r="D6183" s="2">
        <v>42425</v>
      </c>
      <c r="E6183" s="1" t="s">
        <v>18</v>
      </c>
      <c r="F6183" t="str">
        <f>HYPERLINK("http://www.sec.gov/Archives/edgar/data/1035748/0001035748-16-000031-index.html")</f>
        <v>http://www.sec.gov/Archives/edgar/data/1035748/0001035748-16-000031-index.html</v>
      </c>
    </row>
    <row r="6184" spans="1:6" x14ac:dyDescent="0.2">
      <c r="A6184" t="s">
        <v>915</v>
      </c>
      <c r="B6184" s="1">
        <v>1036960</v>
      </c>
      <c r="C6184" s="1">
        <v>3674</v>
      </c>
      <c r="D6184" s="2">
        <v>42425</v>
      </c>
      <c r="E6184" s="1" t="s">
        <v>18</v>
      </c>
      <c r="F6184" t="str">
        <f>HYPERLINK("http://www.sec.gov/Archives/edgar/data/1036960/0001193125-16-478140-index.html")</f>
        <v>http://www.sec.gov/Archives/edgar/data/1036960/0001193125-16-478140-index.html</v>
      </c>
    </row>
    <row r="6185" spans="1:6" x14ac:dyDescent="0.2">
      <c r="A6185" t="s">
        <v>5646</v>
      </c>
      <c r="B6185" s="1">
        <v>1037760</v>
      </c>
      <c r="C6185" s="1">
        <v>3826</v>
      </c>
      <c r="D6185" s="2">
        <v>42425</v>
      </c>
      <c r="E6185" s="1" t="s">
        <v>18</v>
      </c>
      <c r="F6185" t="str">
        <f>HYPERLINK("http://www.sec.gov/Archives/edgar/data/1037760/0001628280-16-011718-index.html")</f>
        <v>http://www.sec.gov/Archives/edgar/data/1037760/0001628280-16-011718-index.html</v>
      </c>
    </row>
    <row r="6186" spans="1:6" x14ac:dyDescent="0.2">
      <c r="A6186" t="s">
        <v>5647</v>
      </c>
      <c r="B6186" s="1">
        <v>1037868</v>
      </c>
      <c r="C6186" s="1">
        <v>3621</v>
      </c>
      <c r="D6186" s="2">
        <v>42425</v>
      </c>
      <c r="E6186" s="1" t="s">
        <v>18</v>
      </c>
      <c r="F6186" t="str">
        <f>HYPERLINK("http://www.sec.gov/Archives/edgar/data/1037868/0001193125-16-478197-index.html")</f>
        <v>http://www.sec.gov/Archives/edgar/data/1037868/0001193125-16-478197-index.html</v>
      </c>
    </row>
    <row r="6187" spans="1:6" x14ac:dyDescent="0.2">
      <c r="A6187" t="s">
        <v>5648</v>
      </c>
      <c r="B6187" s="1">
        <v>1037976</v>
      </c>
      <c r="C6187" s="1">
        <v>6531</v>
      </c>
      <c r="D6187" s="2">
        <v>42425</v>
      </c>
      <c r="E6187" s="1" t="s">
        <v>18</v>
      </c>
      <c r="F6187" t="str">
        <f>HYPERLINK("http://www.sec.gov/Archives/edgar/data/1037976/0001037976-16-000086-index.html")</f>
        <v>http://www.sec.gov/Archives/edgar/data/1037976/0001037976-16-000086-index.html</v>
      </c>
    </row>
    <row r="6188" spans="1:6" x14ac:dyDescent="0.2">
      <c r="A6188" t="s">
        <v>5649</v>
      </c>
      <c r="B6188" s="1">
        <v>1042893</v>
      </c>
      <c r="C6188" s="1">
        <v>3533</v>
      </c>
      <c r="D6188" s="2">
        <v>42425</v>
      </c>
      <c r="E6188" s="1" t="s">
        <v>18</v>
      </c>
      <c r="F6188" t="str">
        <f>HYPERLINK("http://www.sec.gov/Archives/edgar/data/1042893/0001193125-16-476825-index.html")</f>
        <v>http://www.sec.gov/Archives/edgar/data/1042893/0001193125-16-476825-index.html</v>
      </c>
    </row>
    <row r="6189" spans="1:6" x14ac:dyDescent="0.2">
      <c r="A6189" t="s">
        <v>5650</v>
      </c>
      <c r="B6189" s="1">
        <v>1045309</v>
      </c>
      <c r="C6189" s="1">
        <v>2800</v>
      </c>
      <c r="D6189" s="2">
        <v>42425</v>
      </c>
      <c r="E6189" s="1" t="s">
        <v>18</v>
      </c>
      <c r="F6189" t="str">
        <f>HYPERLINK("http://www.sec.gov/Archives/edgar/data/1045309/0001045309-16-000163-index.html")</f>
        <v>http://www.sec.gov/Archives/edgar/data/1045309/0001045309-16-000163-index.html</v>
      </c>
    </row>
    <row r="6190" spans="1:6" x14ac:dyDescent="0.2">
      <c r="A6190" t="s">
        <v>5651</v>
      </c>
      <c r="B6190" s="1">
        <v>1045450</v>
      </c>
      <c r="C6190" s="1">
        <v>6798</v>
      </c>
      <c r="D6190" s="2">
        <v>42425</v>
      </c>
      <c r="E6190" s="1" t="s">
        <v>18</v>
      </c>
      <c r="F6190" t="str">
        <f>HYPERLINK("http://www.sec.gov/Archives/edgar/data/1045450/0001045450-16-000117-index.html")</f>
        <v>http://www.sec.gov/Archives/edgar/data/1045450/0001045450-16-000117-index.html</v>
      </c>
    </row>
    <row r="6191" spans="1:6" x14ac:dyDescent="0.2">
      <c r="A6191" t="s">
        <v>5652</v>
      </c>
      <c r="B6191" s="1">
        <v>1046102</v>
      </c>
      <c r="C6191" s="1">
        <v>7389</v>
      </c>
      <c r="D6191" s="2">
        <v>42425</v>
      </c>
      <c r="E6191" s="1" t="s">
        <v>18</v>
      </c>
      <c r="F6191" t="str">
        <f>HYPERLINK("http://www.sec.gov/Archives/edgar/data/1046102/0001279569-16-002775-index.html")</f>
        <v>http://www.sec.gov/Archives/edgar/data/1046102/0001279569-16-002775-index.html</v>
      </c>
    </row>
    <row r="6192" spans="1:6" x14ac:dyDescent="0.2">
      <c r="A6192" t="s">
        <v>5653</v>
      </c>
      <c r="B6192" s="1">
        <v>1050797</v>
      </c>
      <c r="C6192" s="1">
        <v>2300</v>
      </c>
      <c r="D6192" s="2">
        <v>42425</v>
      </c>
      <c r="E6192" s="1" t="s">
        <v>18</v>
      </c>
      <c r="F6192" t="str">
        <f>HYPERLINK("http://www.sec.gov/Archives/edgar/data/1050797/0001050797-16-000020-index.html")</f>
        <v>http://www.sec.gov/Archives/edgar/data/1050797/0001050797-16-000020-index.html</v>
      </c>
    </row>
    <row r="6193" spans="1:6" x14ac:dyDescent="0.2">
      <c r="A6193" t="s">
        <v>5654</v>
      </c>
      <c r="B6193" s="1">
        <v>1053112</v>
      </c>
      <c r="C6193" s="1">
        <v>4841</v>
      </c>
      <c r="D6193" s="2">
        <v>42425</v>
      </c>
      <c r="E6193" s="1" t="s">
        <v>18</v>
      </c>
      <c r="F6193" t="str">
        <f>HYPERLINK("http://www.sec.gov/Archives/edgar/data/1053112/0001628280-16-011667-index.html")</f>
        <v>http://www.sec.gov/Archives/edgar/data/1053112/0001628280-16-011667-index.html</v>
      </c>
    </row>
    <row r="6194" spans="1:6" x14ac:dyDescent="0.2">
      <c r="A6194" t="s">
        <v>5655</v>
      </c>
      <c r="B6194" s="1">
        <v>105634</v>
      </c>
      <c r="C6194" s="1">
        <v>1731</v>
      </c>
      <c r="D6194" s="2">
        <v>42425</v>
      </c>
      <c r="E6194" s="1" t="s">
        <v>18</v>
      </c>
      <c r="F6194" t="str">
        <f>HYPERLINK("http://www.sec.gov/Archives/edgar/data/105634/0000105634-16-000297-index.html")</f>
        <v>http://www.sec.gov/Archives/edgar/data/105634/0000105634-16-000297-index.html</v>
      </c>
    </row>
    <row r="6195" spans="1:6" x14ac:dyDescent="0.2">
      <c r="A6195" t="s">
        <v>5656</v>
      </c>
      <c r="B6195" s="1">
        <v>1058290</v>
      </c>
      <c r="C6195" s="1">
        <v>7371</v>
      </c>
      <c r="D6195" s="2">
        <v>42425</v>
      </c>
      <c r="E6195" s="1" t="s">
        <v>18</v>
      </c>
      <c r="F6195" t="str">
        <f>HYPERLINK("http://www.sec.gov/Archives/edgar/data/1058290/0001058290-16-000049-index.html")</f>
        <v>http://www.sec.gov/Archives/edgar/data/1058290/0001058290-16-000049-index.html</v>
      </c>
    </row>
    <row r="6196" spans="1:6" x14ac:dyDescent="0.2">
      <c r="A6196" t="s">
        <v>5657</v>
      </c>
      <c r="B6196" s="1">
        <v>1059556</v>
      </c>
      <c r="C6196" s="1">
        <v>7320</v>
      </c>
      <c r="D6196" s="2">
        <v>42425</v>
      </c>
      <c r="E6196" s="1" t="s">
        <v>18</v>
      </c>
      <c r="F6196" t="str">
        <f>HYPERLINK("http://www.sec.gov/Archives/edgar/data/1059556/0001193125-16-476427-index.html")</f>
        <v>http://www.sec.gov/Archives/edgar/data/1059556/0001193125-16-476427-index.html</v>
      </c>
    </row>
    <row r="6197" spans="1:6" x14ac:dyDescent="0.2">
      <c r="A6197" t="s">
        <v>5658</v>
      </c>
      <c r="B6197" s="1">
        <v>1062449</v>
      </c>
      <c r="C6197" s="1">
        <v>5812</v>
      </c>
      <c r="D6197" s="2">
        <v>42425</v>
      </c>
      <c r="E6197" s="1" t="s">
        <v>18</v>
      </c>
      <c r="F6197" t="str">
        <f>HYPERLINK("http://www.sec.gov/Archives/edgar/data/1062449/0001062449-16-000052-index.html")</f>
        <v>http://www.sec.gov/Archives/edgar/data/1062449/0001062449-16-000052-index.html</v>
      </c>
    </row>
    <row r="6198" spans="1:6" x14ac:dyDescent="0.2">
      <c r="A6198" t="s">
        <v>5659</v>
      </c>
      <c r="B6198" s="1">
        <v>1065696</v>
      </c>
      <c r="C6198" s="1">
        <v>5010</v>
      </c>
      <c r="D6198" s="2">
        <v>42425</v>
      </c>
      <c r="E6198" s="1" t="s">
        <v>18</v>
      </c>
      <c r="F6198" t="str">
        <f>HYPERLINK("http://www.sec.gov/Archives/edgar/data/1065696/0001065696-16-000076-index.html")</f>
        <v>http://www.sec.gov/Archives/edgar/data/1065696/0001065696-16-000076-index.html</v>
      </c>
    </row>
    <row r="6199" spans="1:6" x14ac:dyDescent="0.2">
      <c r="A6199" t="s">
        <v>5660</v>
      </c>
      <c r="B6199" s="1">
        <v>1070336</v>
      </c>
      <c r="C6199" s="1">
        <v>2834</v>
      </c>
      <c r="D6199" s="2">
        <v>42425</v>
      </c>
      <c r="E6199" s="1" t="s">
        <v>18</v>
      </c>
      <c r="F6199" t="str">
        <f>HYPERLINK("http://www.sec.gov/Archives/edgar/data/1070336/0001193125-16-478314-index.html")</f>
        <v>http://www.sec.gov/Archives/edgar/data/1070336/0001193125-16-478314-index.html</v>
      </c>
    </row>
    <row r="6200" spans="1:6" x14ac:dyDescent="0.2">
      <c r="A6200" t="s">
        <v>5661</v>
      </c>
      <c r="B6200" s="1">
        <v>1070423</v>
      </c>
      <c r="C6200" s="1">
        <v>4610</v>
      </c>
      <c r="D6200" s="2">
        <v>42425</v>
      </c>
      <c r="E6200" s="1" t="s">
        <v>18</v>
      </c>
      <c r="F6200" t="str">
        <f>HYPERLINK("http://www.sec.gov/Archives/edgar/data/1070423/0001104659-16-100030-index.html")</f>
        <v>http://www.sec.gov/Archives/edgar/data/1070423/0001104659-16-100030-index.html</v>
      </c>
    </row>
    <row r="6201" spans="1:6" x14ac:dyDescent="0.2">
      <c r="A6201" t="s">
        <v>5662</v>
      </c>
      <c r="B6201" s="1">
        <v>1070985</v>
      </c>
      <c r="C6201" s="1">
        <v>6798</v>
      </c>
      <c r="D6201" s="2">
        <v>42425</v>
      </c>
      <c r="E6201" s="1" t="s">
        <v>18</v>
      </c>
      <c r="F6201" t="str">
        <f>HYPERLINK("http://www.sec.gov/Archives/edgar/data/1070985/0001193125-16-477634-index.html")</f>
        <v>http://www.sec.gov/Archives/edgar/data/1070985/0001193125-16-477634-index.html</v>
      </c>
    </row>
    <row r="6202" spans="1:6" x14ac:dyDescent="0.2">
      <c r="A6202" t="s">
        <v>5663</v>
      </c>
      <c r="B6202" s="1">
        <v>1077771</v>
      </c>
      <c r="C6202" s="1">
        <v>6035</v>
      </c>
      <c r="D6202" s="2">
        <v>42425</v>
      </c>
      <c r="E6202" s="1" t="s">
        <v>18</v>
      </c>
      <c r="F6202" t="str">
        <f>HYPERLINK("http://www.sec.gov/Archives/edgar/data/1077771/0001077771-16-000285-index.html")</f>
        <v>http://www.sec.gov/Archives/edgar/data/1077771/0001077771-16-000285-index.html</v>
      </c>
    </row>
    <row r="6203" spans="1:6" x14ac:dyDescent="0.2">
      <c r="A6203" t="s">
        <v>5664</v>
      </c>
      <c r="B6203" s="1">
        <v>1078207</v>
      </c>
      <c r="C6203" s="1">
        <v>3949</v>
      </c>
      <c r="D6203" s="2">
        <v>42425</v>
      </c>
      <c r="E6203" s="1" t="s">
        <v>18</v>
      </c>
      <c r="F6203" t="str">
        <f>HYPERLINK("http://www.sec.gov/Archives/edgar/data/1078207/0001078207-16-000064-index.html")</f>
        <v>http://www.sec.gov/Archives/edgar/data/1078207/0001078207-16-000064-index.html</v>
      </c>
    </row>
    <row r="6204" spans="1:6" x14ac:dyDescent="0.2">
      <c r="A6204" t="s">
        <v>5665</v>
      </c>
      <c r="B6204" s="1">
        <v>1082554</v>
      </c>
      <c r="C6204" s="1">
        <v>2834</v>
      </c>
      <c r="D6204" s="2">
        <v>42425</v>
      </c>
      <c r="E6204" s="1" t="s">
        <v>18</v>
      </c>
      <c r="F6204" t="str">
        <f>HYPERLINK("http://www.sec.gov/Archives/edgar/data/1082554/0001047469-16-010392-index.html")</f>
        <v>http://www.sec.gov/Archives/edgar/data/1082554/0001047469-16-010392-index.html</v>
      </c>
    </row>
    <row r="6205" spans="1:6" x14ac:dyDescent="0.2">
      <c r="A6205" t="s">
        <v>5666</v>
      </c>
      <c r="B6205" s="1">
        <v>1090425</v>
      </c>
      <c r="C6205" s="1">
        <v>6798</v>
      </c>
      <c r="D6205" s="2">
        <v>42425</v>
      </c>
      <c r="E6205" s="1" t="s">
        <v>18</v>
      </c>
      <c r="F6205" t="str">
        <f>HYPERLINK("http://www.sec.gov/Archives/edgar/data/1090425/0001193125-16-478563-index.html")</f>
        <v>http://www.sec.gov/Archives/edgar/data/1090425/0001193125-16-478563-index.html</v>
      </c>
    </row>
    <row r="6206" spans="1:6" x14ac:dyDescent="0.2">
      <c r="A6206" t="s">
        <v>5667</v>
      </c>
      <c r="B6206" s="1">
        <v>1090727</v>
      </c>
      <c r="C6206" s="1">
        <v>4210</v>
      </c>
      <c r="D6206" s="2">
        <v>42425</v>
      </c>
      <c r="E6206" s="1" t="s">
        <v>18</v>
      </c>
      <c r="F6206" t="str">
        <f>HYPERLINK("http://www.sec.gov/Archives/edgar/data/1090727/0001090727-16-000053-index.html")</f>
        <v>http://www.sec.gov/Archives/edgar/data/1090727/0001090727-16-000053-index.html</v>
      </c>
    </row>
    <row r="6207" spans="1:6" x14ac:dyDescent="0.2">
      <c r="A6207" t="s">
        <v>5668</v>
      </c>
      <c r="B6207" s="1">
        <v>1094093</v>
      </c>
      <c r="C6207" s="1">
        <v>4911</v>
      </c>
      <c r="D6207" s="2">
        <v>42425</v>
      </c>
      <c r="E6207" s="1" t="s">
        <v>18</v>
      </c>
      <c r="F6207" t="str">
        <f>HYPERLINK("http://www.sec.gov/Archives/edgar/data/1094093/0001326160-16-000221-index.html")</f>
        <v>http://www.sec.gov/Archives/edgar/data/1094093/0001326160-16-000221-index.html</v>
      </c>
    </row>
    <row r="6208" spans="1:6" x14ac:dyDescent="0.2">
      <c r="A6208" t="s">
        <v>5669</v>
      </c>
      <c r="B6208" s="1">
        <v>1097149</v>
      </c>
      <c r="C6208" s="1">
        <v>3842</v>
      </c>
      <c r="D6208" s="2">
        <v>42425</v>
      </c>
      <c r="E6208" s="1" t="s">
        <v>18</v>
      </c>
      <c r="F6208" t="str">
        <f>HYPERLINK("http://www.sec.gov/Archives/edgar/data/1097149/0001097149-16-000031-index.html")</f>
        <v>http://www.sec.gov/Archives/edgar/data/1097149/0001097149-16-000031-index.html</v>
      </c>
    </row>
    <row r="6209" spans="1:6" x14ac:dyDescent="0.2">
      <c r="A6209" t="s">
        <v>5670</v>
      </c>
      <c r="B6209" s="1">
        <v>1099219</v>
      </c>
      <c r="C6209" s="1">
        <v>6311</v>
      </c>
      <c r="D6209" s="2">
        <v>42425</v>
      </c>
      <c r="E6209" s="1" t="s">
        <v>18</v>
      </c>
      <c r="F6209" t="str">
        <f>HYPERLINK("http://www.sec.gov/Archives/edgar/data/1099219/0000937834-16-000077-index.html")</f>
        <v>http://www.sec.gov/Archives/edgar/data/1099219/0000937834-16-000077-index.html</v>
      </c>
    </row>
    <row r="6210" spans="1:6" x14ac:dyDescent="0.2">
      <c r="A6210" t="s">
        <v>5671</v>
      </c>
      <c r="B6210" s="1">
        <v>1101215</v>
      </c>
      <c r="C6210" s="1">
        <v>7389</v>
      </c>
      <c r="D6210" s="2">
        <v>42425</v>
      </c>
      <c r="E6210" s="1" t="s">
        <v>18</v>
      </c>
      <c r="F6210" t="str">
        <f>HYPERLINK("http://www.sec.gov/Archives/edgar/data/1101215/0001101215-16-000312-index.html")</f>
        <v>http://www.sec.gov/Archives/edgar/data/1101215/0001101215-16-000312-index.html</v>
      </c>
    </row>
    <row r="6211" spans="1:6" x14ac:dyDescent="0.2">
      <c r="A6211" t="s">
        <v>5672</v>
      </c>
      <c r="B6211" s="1">
        <v>1104506</v>
      </c>
      <c r="C6211" s="1">
        <v>2834</v>
      </c>
      <c r="D6211" s="2">
        <v>42425</v>
      </c>
      <c r="E6211" s="1" t="s">
        <v>18</v>
      </c>
      <c r="F6211" t="str">
        <f>HYPERLINK("http://www.sec.gov/Archives/edgar/data/1104506/0001047469-16-010395-index.html")</f>
        <v>http://www.sec.gov/Archives/edgar/data/1104506/0001047469-16-010395-index.html</v>
      </c>
    </row>
    <row r="6212" spans="1:6" x14ac:dyDescent="0.2">
      <c r="A6212" t="s">
        <v>5673</v>
      </c>
      <c r="B6212" s="1">
        <v>1104657</v>
      </c>
      <c r="C6212" s="1">
        <v>3460</v>
      </c>
      <c r="D6212" s="2">
        <v>42425</v>
      </c>
      <c r="E6212" s="1" t="s">
        <v>18</v>
      </c>
      <c r="F6212" t="str">
        <f>HYPERLINK("http://www.sec.gov/Archives/edgar/data/1104657/0001104657-16-000152-index.html")</f>
        <v>http://www.sec.gov/Archives/edgar/data/1104657/0001104657-16-000152-index.html</v>
      </c>
    </row>
    <row r="6213" spans="1:6" x14ac:dyDescent="0.2">
      <c r="A6213" t="s">
        <v>5674</v>
      </c>
      <c r="B6213" s="1">
        <v>1105705</v>
      </c>
      <c r="C6213" s="1">
        <v>4841</v>
      </c>
      <c r="D6213" s="2">
        <v>42425</v>
      </c>
      <c r="E6213" s="1" t="s">
        <v>18</v>
      </c>
      <c r="F6213" t="str">
        <f>HYPERLINK("http://www.sec.gov/Archives/edgar/data/1105705/0001193125-16-477965-index.html")</f>
        <v>http://www.sec.gov/Archives/edgar/data/1105705/0001193125-16-477965-index.html</v>
      </c>
    </row>
    <row r="6214" spans="1:6" x14ac:dyDescent="0.2">
      <c r="A6214" t="s">
        <v>5675</v>
      </c>
      <c r="B6214" s="1">
        <v>1110805</v>
      </c>
      <c r="C6214" s="1">
        <v>4610</v>
      </c>
      <c r="D6214" s="2">
        <v>42425</v>
      </c>
      <c r="E6214" s="1" t="s">
        <v>18</v>
      </c>
      <c r="F6214" t="str">
        <f>HYPERLINK("http://www.sec.gov/Archives/edgar/data/1110805/0001110805-16-000046-index.html")</f>
        <v>http://www.sec.gov/Archives/edgar/data/1110805/0001110805-16-000046-index.html</v>
      </c>
    </row>
    <row r="6215" spans="1:6" x14ac:dyDescent="0.2">
      <c r="A6215" t="s">
        <v>5676</v>
      </c>
      <c r="B6215" s="1">
        <v>1111335</v>
      </c>
      <c r="C6215" s="1">
        <v>3714</v>
      </c>
      <c r="D6215" s="2">
        <v>42425</v>
      </c>
      <c r="E6215" s="1" t="s">
        <v>18</v>
      </c>
      <c r="F6215" t="str">
        <f>HYPERLINK("http://www.sec.gov/Archives/edgar/data/1111335/0001111335-16-000018-index.html")</f>
        <v>http://www.sec.gov/Archives/edgar/data/1111335/0001111335-16-000018-index.html</v>
      </c>
    </row>
    <row r="6216" spans="1:6" x14ac:dyDescent="0.2">
      <c r="A6216" t="s">
        <v>5677</v>
      </c>
      <c r="B6216" s="1">
        <v>1115836</v>
      </c>
      <c r="C6216" s="1">
        <v>7011</v>
      </c>
      <c r="D6216" s="2">
        <v>42425</v>
      </c>
      <c r="E6216" s="1" t="s">
        <v>18</v>
      </c>
      <c r="F6216" t="str">
        <f>HYPERLINK("http://www.sec.gov/Archives/edgar/data/1115836/0001115836-16-000039-index.html")</f>
        <v>http://www.sec.gov/Archives/edgar/data/1115836/0001115836-16-000039-index.html</v>
      </c>
    </row>
    <row r="6217" spans="1:6" x14ac:dyDescent="0.2">
      <c r="A6217" t="s">
        <v>5678</v>
      </c>
      <c r="B6217" s="1">
        <v>1116942</v>
      </c>
      <c r="C6217" s="1">
        <v>3672</v>
      </c>
      <c r="D6217" s="2">
        <v>42425</v>
      </c>
      <c r="E6217" s="1" t="s">
        <v>18</v>
      </c>
      <c r="F6217" t="str">
        <f>HYPERLINK("http://www.sec.gov/Archives/edgar/data/1116942/0001193125-16-476374-index.html")</f>
        <v>http://www.sec.gov/Archives/edgar/data/1116942/0001193125-16-476374-index.html</v>
      </c>
    </row>
    <row r="6218" spans="1:6" x14ac:dyDescent="0.2">
      <c r="A6218" t="s">
        <v>5679</v>
      </c>
      <c r="B6218" s="1">
        <v>1122388</v>
      </c>
      <c r="C6218" s="1">
        <v>7372</v>
      </c>
      <c r="D6218" s="2">
        <v>42425</v>
      </c>
      <c r="E6218" s="1" t="s">
        <v>18</v>
      </c>
      <c r="F6218" t="str">
        <f>HYPERLINK("http://www.sec.gov/Archives/edgar/data/1122388/0001122388-16-000074-index.html")</f>
        <v>http://www.sec.gov/Archives/edgar/data/1122388/0001122388-16-000074-index.html</v>
      </c>
    </row>
    <row r="6219" spans="1:6" x14ac:dyDescent="0.2">
      <c r="A6219" t="s">
        <v>5680</v>
      </c>
      <c r="B6219" s="1">
        <v>1124610</v>
      </c>
      <c r="C6219" s="1">
        <v>7372</v>
      </c>
      <c r="D6219" s="2">
        <v>42425</v>
      </c>
      <c r="E6219" s="1" t="s">
        <v>18</v>
      </c>
      <c r="F6219" t="str">
        <f>HYPERLINK("http://www.sec.gov/Archives/edgar/data/1124610/0001124610-16-000040-index.html")</f>
        <v>http://www.sec.gov/Archives/edgar/data/1124610/0001124610-16-000040-index.html</v>
      </c>
    </row>
    <row r="6220" spans="1:6" x14ac:dyDescent="0.2">
      <c r="A6220" t="s">
        <v>5681</v>
      </c>
      <c r="B6220" s="1">
        <v>1130464</v>
      </c>
      <c r="C6220" s="1">
        <v>4911</v>
      </c>
      <c r="D6220" s="2">
        <v>42425</v>
      </c>
      <c r="E6220" s="1" t="s">
        <v>18</v>
      </c>
      <c r="F6220" t="str">
        <f>HYPERLINK("http://www.sec.gov/Archives/edgar/data/1130464/0001130464-16-000176-index.html")</f>
        <v>http://www.sec.gov/Archives/edgar/data/1130464/0001130464-16-000176-index.html</v>
      </c>
    </row>
    <row r="6221" spans="1:6" x14ac:dyDescent="0.2">
      <c r="A6221" t="s">
        <v>5682</v>
      </c>
      <c r="B6221" s="1">
        <v>1144519</v>
      </c>
      <c r="C6221" s="1">
        <v>2070</v>
      </c>
      <c r="D6221" s="2">
        <v>42425</v>
      </c>
      <c r="E6221" s="1" t="s">
        <v>18</v>
      </c>
      <c r="F6221" t="str">
        <f>HYPERLINK("http://www.sec.gov/Archives/edgar/data/1144519/0001047469-16-010442-index.html")</f>
        <v>http://www.sec.gov/Archives/edgar/data/1144519/0001047469-16-010442-index.html</v>
      </c>
    </row>
    <row r="6222" spans="1:6" x14ac:dyDescent="0.2">
      <c r="A6222" t="s">
        <v>5683</v>
      </c>
      <c r="B6222" s="1">
        <v>1156174</v>
      </c>
      <c r="C6222" s="1">
        <v>2860</v>
      </c>
      <c r="D6222" s="2">
        <v>42425</v>
      </c>
      <c r="E6222" s="1" t="s">
        <v>18</v>
      </c>
      <c r="F6222" t="str">
        <f>HYPERLINK("http://www.sec.gov/Archives/edgar/data/1156174/0001156174-16-000016-index.html")</f>
        <v>http://www.sec.gov/Archives/edgar/data/1156174/0001156174-16-000016-index.html</v>
      </c>
    </row>
    <row r="6223" spans="1:6" x14ac:dyDescent="0.2">
      <c r="A6223" t="s">
        <v>5684</v>
      </c>
      <c r="B6223" s="1">
        <v>1158863</v>
      </c>
      <c r="C6223" s="1">
        <v>7389</v>
      </c>
      <c r="D6223" s="2">
        <v>42425</v>
      </c>
      <c r="E6223" s="1" t="s">
        <v>18</v>
      </c>
      <c r="F6223" t="str">
        <f>HYPERLINK("http://www.sec.gov/Archives/edgar/data/1158863/0001158863-16-000026-index.html")</f>
        <v>http://www.sec.gov/Archives/edgar/data/1158863/0001158863-16-000026-index.html</v>
      </c>
    </row>
    <row r="6224" spans="1:6" x14ac:dyDescent="0.2">
      <c r="A6224" t="s">
        <v>5685</v>
      </c>
      <c r="B6224" s="1">
        <v>1161728</v>
      </c>
      <c r="C6224" s="1">
        <v>4900</v>
      </c>
      <c r="D6224" s="2">
        <v>42425</v>
      </c>
      <c r="E6224" s="1" t="s">
        <v>18</v>
      </c>
      <c r="F6224" t="str">
        <f>HYPERLINK("http://www.sec.gov/Archives/edgar/data/1161728/0001161728-16-000028-index.html")</f>
        <v>http://www.sec.gov/Archives/edgar/data/1161728/0001161728-16-000028-index.html</v>
      </c>
    </row>
    <row r="6225" spans="1:6" x14ac:dyDescent="0.2">
      <c r="A6225" t="s">
        <v>5686</v>
      </c>
      <c r="B6225" s="1">
        <v>1165002</v>
      </c>
      <c r="C6225" s="1">
        <v>6282</v>
      </c>
      <c r="D6225" s="2">
        <v>42425</v>
      </c>
      <c r="E6225" s="1" t="s">
        <v>18</v>
      </c>
      <c r="F6225" t="str">
        <f>HYPERLINK("http://www.sec.gov/Archives/edgar/data/1165002/0001165002-16-000034-index.html")</f>
        <v>http://www.sec.gov/Archives/edgar/data/1165002/0001165002-16-000034-index.html</v>
      </c>
    </row>
    <row r="6226" spans="1:6" x14ac:dyDescent="0.2">
      <c r="A6226" t="s">
        <v>5687</v>
      </c>
      <c r="B6226" s="1">
        <v>1169055</v>
      </c>
      <c r="C6226" s="1">
        <v>1381</v>
      </c>
      <c r="D6226" s="2">
        <v>42425</v>
      </c>
      <c r="E6226" s="1" t="s">
        <v>18</v>
      </c>
      <c r="F6226" t="str">
        <f>HYPERLINK("http://www.sec.gov/Archives/edgar/data/1169055/0001564590-16-013321-index.html")</f>
        <v>http://www.sec.gov/Archives/edgar/data/1169055/0001564590-16-013321-index.html</v>
      </c>
    </row>
    <row r="6227" spans="1:6" x14ac:dyDescent="0.2">
      <c r="A6227" t="s">
        <v>5688</v>
      </c>
      <c r="B6227" s="1">
        <v>1169652</v>
      </c>
      <c r="C6227" s="1">
        <v>7372</v>
      </c>
      <c r="D6227" s="2">
        <v>42425</v>
      </c>
      <c r="E6227" s="1" t="s">
        <v>18</v>
      </c>
      <c r="F6227" t="str">
        <f>HYPERLINK("http://www.sec.gov/Archives/edgar/data/1169652/0001169652-16-000122-index.html")</f>
        <v>http://www.sec.gov/Archives/edgar/data/1169652/0001169652-16-000122-index.html</v>
      </c>
    </row>
    <row r="6228" spans="1:6" x14ac:dyDescent="0.2">
      <c r="A6228" t="s">
        <v>5689</v>
      </c>
      <c r="B6228" s="1">
        <v>1172358</v>
      </c>
      <c r="C6228" s="1">
        <v>1311</v>
      </c>
      <c r="D6228" s="2">
        <v>42425</v>
      </c>
      <c r="E6228" s="1" t="s">
        <v>18</v>
      </c>
      <c r="F6228" t="str">
        <f>HYPERLINK("http://www.sec.gov/Archives/edgar/data/1172358/0001437749-16-026030-index.html")</f>
        <v>http://www.sec.gov/Archives/edgar/data/1172358/0001437749-16-026030-index.html</v>
      </c>
    </row>
    <row r="6229" spans="1:6" x14ac:dyDescent="0.2">
      <c r="A6229" t="s">
        <v>5690</v>
      </c>
      <c r="B6229" s="1">
        <v>1180262</v>
      </c>
      <c r="C6229" s="1">
        <v>5122</v>
      </c>
      <c r="D6229" s="2">
        <v>42425</v>
      </c>
      <c r="E6229" s="1" t="s">
        <v>18</v>
      </c>
      <c r="F6229" t="str">
        <f>HYPERLINK("http://www.sec.gov/Archives/edgar/data/1180262/0001564590-16-013384-index.html")</f>
        <v>http://www.sec.gov/Archives/edgar/data/1180262/0001564590-16-013384-index.html</v>
      </c>
    </row>
    <row r="6230" spans="1:6" x14ac:dyDescent="0.2">
      <c r="A6230" t="s">
        <v>5691</v>
      </c>
      <c r="B6230" s="1">
        <v>1195933</v>
      </c>
      <c r="C6230" s="1">
        <v>6331</v>
      </c>
      <c r="D6230" s="2">
        <v>42425</v>
      </c>
      <c r="E6230" s="1" t="s">
        <v>18</v>
      </c>
      <c r="F6230" t="str">
        <f>HYPERLINK("http://www.sec.gov/Archives/edgar/data/1195933/0001195933-16-000068-index.html")</f>
        <v>http://www.sec.gov/Archives/edgar/data/1195933/0001195933-16-000068-index.html</v>
      </c>
    </row>
    <row r="6231" spans="1:6" x14ac:dyDescent="0.2">
      <c r="A6231" t="s">
        <v>5692</v>
      </c>
      <c r="B6231" s="1">
        <v>1208208</v>
      </c>
      <c r="C6231" s="1">
        <v>4899</v>
      </c>
      <c r="D6231" s="2">
        <v>42425</v>
      </c>
      <c r="E6231" s="1" t="s">
        <v>18</v>
      </c>
      <c r="F6231" t="str">
        <f>HYPERLINK("http://www.sec.gov/Archives/edgar/data/1208208/0001558370-16-003536-index.html")</f>
        <v>http://www.sec.gov/Archives/edgar/data/1208208/0001558370-16-003536-index.html</v>
      </c>
    </row>
    <row r="6232" spans="1:6" x14ac:dyDescent="0.2">
      <c r="A6232" t="s">
        <v>5693</v>
      </c>
      <c r="B6232" s="1">
        <v>1212458</v>
      </c>
      <c r="C6232" s="1">
        <v>7374</v>
      </c>
      <c r="D6232" s="2">
        <v>42425</v>
      </c>
      <c r="E6232" s="1" t="s">
        <v>18</v>
      </c>
      <c r="F6232" t="str">
        <f>HYPERLINK("http://www.sec.gov/Archives/edgar/data/1212458/0001628280-16-011705-index.html")</f>
        <v>http://www.sec.gov/Archives/edgar/data/1212458/0001628280-16-011705-index.html</v>
      </c>
    </row>
    <row r="6233" spans="1:6" x14ac:dyDescent="0.2">
      <c r="A6233" t="s">
        <v>5694</v>
      </c>
      <c r="B6233" s="1">
        <v>1223786</v>
      </c>
      <c r="C6233" s="1">
        <v>4610</v>
      </c>
      <c r="D6233" s="2">
        <v>42425</v>
      </c>
      <c r="E6233" s="1" t="s">
        <v>18</v>
      </c>
      <c r="F6233" t="str">
        <f>HYPERLINK("http://www.sec.gov/Archives/edgar/data/1223786/0001223786-16-000040-index.html")</f>
        <v>http://www.sec.gov/Archives/edgar/data/1223786/0001223786-16-000040-index.html</v>
      </c>
    </row>
    <row r="6234" spans="1:6" x14ac:dyDescent="0.2">
      <c r="A6234" t="s">
        <v>5695</v>
      </c>
      <c r="B6234" s="1">
        <v>1226616</v>
      </c>
      <c r="C6234" s="1">
        <v>2834</v>
      </c>
      <c r="D6234" s="2">
        <v>42425</v>
      </c>
      <c r="E6234" s="1" t="s">
        <v>18</v>
      </c>
      <c r="F6234" t="str">
        <f>HYPERLINK("http://www.sec.gov/Archives/edgar/data/1226616/0001564590-16-013409-index.html")</f>
        <v>http://www.sec.gov/Archives/edgar/data/1226616/0001564590-16-013409-index.html</v>
      </c>
    </row>
    <row r="6235" spans="1:6" x14ac:dyDescent="0.2">
      <c r="A6235" t="s">
        <v>5696</v>
      </c>
      <c r="B6235" s="1">
        <v>1230245</v>
      </c>
      <c r="C6235" s="1">
        <v>6211</v>
      </c>
      <c r="D6235" s="2">
        <v>42425</v>
      </c>
      <c r="E6235" s="1" t="s">
        <v>18</v>
      </c>
      <c r="F6235" t="str">
        <f>HYPERLINK("http://www.sec.gov/Archives/edgar/data/1230245/0001230245-16-000217-index.html")</f>
        <v>http://www.sec.gov/Archives/edgar/data/1230245/0001230245-16-000217-index.html</v>
      </c>
    </row>
    <row r="6236" spans="1:6" x14ac:dyDescent="0.2">
      <c r="A6236" t="s">
        <v>5697</v>
      </c>
      <c r="B6236" s="1">
        <v>1255474</v>
      </c>
      <c r="C6236" s="1">
        <v>1311</v>
      </c>
      <c r="D6236" s="2">
        <v>42425</v>
      </c>
      <c r="E6236" s="1" t="s">
        <v>18</v>
      </c>
      <c r="F6236" t="str">
        <f>HYPERLINK("http://www.sec.gov/Archives/edgar/data/1255474/0001255474-16-000024-index.html")</f>
        <v>http://www.sec.gov/Archives/edgar/data/1255474/0001255474-16-000024-index.html</v>
      </c>
    </row>
    <row r="6237" spans="1:6" x14ac:dyDescent="0.2">
      <c r="A6237" t="s">
        <v>5698</v>
      </c>
      <c r="B6237" s="1">
        <v>1258602</v>
      </c>
      <c r="C6237" s="1">
        <v>6141</v>
      </c>
      <c r="D6237" s="2">
        <v>42425</v>
      </c>
      <c r="E6237" s="1" t="s">
        <v>18</v>
      </c>
      <c r="F6237" t="str">
        <f>HYPERLINK("http://www.sec.gov/Archives/edgar/data/1258602/0001258602-16-000064-index.html")</f>
        <v>http://www.sec.gov/Archives/edgar/data/1258602/0001258602-16-000064-index.html</v>
      </c>
    </row>
    <row r="6238" spans="1:6" x14ac:dyDescent="0.2">
      <c r="A6238" t="s">
        <v>5699</v>
      </c>
      <c r="B6238" s="1">
        <v>1271214</v>
      </c>
      <c r="C6238" s="1">
        <v>3841</v>
      </c>
      <c r="D6238" s="2">
        <v>42425</v>
      </c>
      <c r="E6238" s="1" t="s">
        <v>18</v>
      </c>
      <c r="F6238" t="str">
        <f>HYPERLINK("http://www.sec.gov/Archives/edgar/data/1271214/0001193125-16-478406-index.html")</f>
        <v>http://www.sec.gov/Archives/edgar/data/1271214/0001193125-16-478406-index.html</v>
      </c>
    </row>
    <row r="6239" spans="1:6" x14ac:dyDescent="0.2">
      <c r="A6239" t="s">
        <v>5700</v>
      </c>
      <c r="B6239" s="1">
        <v>1273685</v>
      </c>
      <c r="C6239" s="1">
        <v>6798</v>
      </c>
      <c r="D6239" s="2">
        <v>42425</v>
      </c>
      <c r="E6239" s="1" t="s">
        <v>18</v>
      </c>
      <c r="F6239" t="str">
        <f>HYPERLINK("http://www.sec.gov/Archives/edgar/data/1273685/0001273685-16-000021-index.html")</f>
        <v>http://www.sec.gov/Archives/edgar/data/1273685/0001273685-16-000021-index.html</v>
      </c>
    </row>
    <row r="6240" spans="1:6" x14ac:dyDescent="0.2">
      <c r="A6240" t="s">
        <v>5701</v>
      </c>
      <c r="B6240" s="1">
        <v>1278021</v>
      </c>
      <c r="C6240" s="1">
        <v>6211</v>
      </c>
      <c r="D6240" s="2">
        <v>42425</v>
      </c>
      <c r="E6240" s="1" t="s">
        <v>18</v>
      </c>
      <c r="F6240" t="str">
        <f>HYPERLINK("http://www.sec.gov/Archives/edgar/data/1278021/0001564590-16-013407-index.html")</f>
        <v>http://www.sec.gov/Archives/edgar/data/1278021/0001564590-16-013407-index.html</v>
      </c>
    </row>
    <row r="6241" spans="1:6" x14ac:dyDescent="0.2">
      <c r="A6241" t="s">
        <v>5702</v>
      </c>
      <c r="B6241" s="1">
        <v>1280600</v>
      </c>
      <c r="C6241" s="1">
        <v>2836</v>
      </c>
      <c r="D6241" s="2">
        <v>42425</v>
      </c>
      <c r="E6241" s="1" t="s">
        <v>18</v>
      </c>
      <c r="F6241" t="str">
        <f>HYPERLINK("http://www.sec.gov/Archives/edgar/data/1280600/0001280600-16-000072-index.html")</f>
        <v>http://www.sec.gov/Archives/edgar/data/1280600/0001280600-16-000072-index.html</v>
      </c>
    </row>
    <row r="6242" spans="1:6" x14ac:dyDescent="0.2">
      <c r="A6242" t="s">
        <v>5703</v>
      </c>
      <c r="B6242" s="1">
        <v>1280784</v>
      </c>
      <c r="C6242" s="1">
        <v>2836</v>
      </c>
      <c r="D6242" s="2">
        <v>42425</v>
      </c>
      <c r="E6242" s="1" t="s">
        <v>18</v>
      </c>
      <c r="F6242" t="str">
        <f>HYPERLINK("http://www.sec.gov/Archives/edgar/data/1280784/0001564590-16-013376-index.html")</f>
        <v>http://www.sec.gov/Archives/edgar/data/1280784/0001564590-16-013376-index.html</v>
      </c>
    </row>
    <row r="6243" spans="1:6" x14ac:dyDescent="0.2">
      <c r="A6243" t="s">
        <v>5704</v>
      </c>
      <c r="B6243" s="1">
        <v>1282266</v>
      </c>
      <c r="C6243" s="1">
        <v>4813</v>
      </c>
      <c r="D6243" s="2">
        <v>42425</v>
      </c>
      <c r="E6243" s="1" t="s">
        <v>18</v>
      </c>
      <c r="F6243" t="str">
        <f>HYPERLINK("http://www.sec.gov/Archives/edgar/data/1282266/0001282266-16-000059-index.html")</f>
        <v>http://www.sec.gov/Archives/edgar/data/1282266/0001282266-16-000059-index.html</v>
      </c>
    </row>
    <row r="6244" spans="1:6" x14ac:dyDescent="0.2">
      <c r="A6244" t="s">
        <v>5705</v>
      </c>
      <c r="B6244" s="1">
        <v>1286681</v>
      </c>
      <c r="C6244" s="1">
        <v>5140</v>
      </c>
      <c r="D6244" s="2">
        <v>42425</v>
      </c>
      <c r="E6244" s="1" t="s">
        <v>18</v>
      </c>
      <c r="F6244" t="str">
        <f>HYPERLINK("http://www.sec.gov/Archives/edgar/data/1286681/0001193125-16-476935-index.html")</f>
        <v>http://www.sec.gov/Archives/edgar/data/1286681/0001193125-16-476935-index.html</v>
      </c>
    </row>
    <row r="6245" spans="1:6" x14ac:dyDescent="0.2">
      <c r="A6245" t="s">
        <v>5706</v>
      </c>
      <c r="B6245" s="1">
        <v>1289945</v>
      </c>
      <c r="C6245" s="1">
        <v>4812</v>
      </c>
      <c r="D6245" s="2">
        <v>42425</v>
      </c>
      <c r="E6245" s="1" t="s">
        <v>18</v>
      </c>
      <c r="F6245" t="str">
        <f>HYPERLINK("http://www.sec.gov/Archives/edgar/data/1289945/0001289945-16-000062-index.html")</f>
        <v>http://www.sec.gov/Archives/edgar/data/1289945/0001289945-16-000062-index.html</v>
      </c>
    </row>
    <row r="6246" spans="1:6" x14ac:dyDescent="0.2">
      <c r="A6246" t="s">
        <v>5707</v>
      </c>
      <c r="B6246" s="1">
        <v>1293971</v>
      </c>
      <c r="C6246" s="1">
        <v>2836</v>
      </c>
      <c r="D6246" s="2">
        <v>42425</v>
      </c>
      <c r="E6246" s="1" t="s">
        <v>18</v>
      </c>
      <c r="F6246" t="str">
        <f>HYPERLINK("http://www.sec.gov/Archives/edgar/data/1293971/0001564590-16-013381-index.html")</f>
        <v>http://www.sec.gov/Archives/edgar/data/1293971/0001564590-16-013381-index.html</v>
      </c>
    </row>
    <row r="6247" spans="1:6" x14ac:dyDescent="0.2">
      <c r="A6247" t="s">
        <v>5708</v>
      </c>
      <c r="B6247" s="1">
        <v>1297401</v>
      </c>
      <c r="C6247" s="1">
        <v>7812</v>
      </c>
      <c r="D6247" s="2">
        <v>42425</v>
      </c>
      <c r="E6247" s="1" t="s">
        <v>18</v>
      </c>
      <c r="F6247" t="str">
        <f>HYPERLINK("http://www.sec.gov/Archives/edgar/data/1297401/0001297401-16-000026-index.html")</f>
        <v>http://www.sec.gov/Archives/edgar/data/1297401/0001297401-16-000026-index.html</v>
      </c>
    </row>
    <row r="6248" spans="1:6" x14ac:dyDescent="0.2">
      <c r="A6248" t="s">
        <v>5709</v>
      </c>
      <c r="B6248" s="1">
        <v>1303652</v>
      </c>
      <c r="C6248" s="1">
        <v>7372</v>
      </c>
      <c r="D6248" s="2">
        <v>42425</v>
      </c>
      <c r="E6248" s="1" t="s">
        <v>18</v>
      </c>
      <c r="F6248" t="str">
        <f>HYPERLINK("http://www.sec.gov/Archives/edgar/data/1303652/0001303652-16-000039-index.html")</f>
        <v>http://www.sec.gov/Archives/edgar/data/1303652/0001303652-16-000039-index.html</v>
      </c>
    </row>
    <row r="6249" spans="1:6" x14ac:dyDescent="0.2">
      <c r="A6249" t="s">
        <v>5710</v>
      </c>
      <c r="B6249" s="1">
        <v>1311370</v>
      </c>
      <c r="C6249" s="1">
        <v>6282</v>
      </c>
      <c r="D6249" s="2">
        <v>42425</v>
      </c>
      <c r="E6249" s="1" t="s">
        <v>18</v>
      </c>
      <c r="F6249" t="str">
        <f>HYPERLINK("http://www.sec.gov/Archives/edgar/data/1311370/0001193125-16-478536-index.html")</f>
        <v>http://www.sec.gov/Archives/edgar/data/1311370/0001193125-16-478536-index.html</v>
      </c>
    </row>
    <row r="6250" spans="1:6" x14ac:dyDescent="0.2">
      <c r="A6250" t="s">
        <v>5711</v>
      </c>
      <c r="B6250" s="1">
        <v>1317630</v>
      </c>
      <c r="C6250" s="1">
        <v>4911</v>
      </c>
      <c r="D6250" s="2">
        <v>42425</v>
      </c>
      <c r="E6250" s="1" t="s">
        <v>18</v>
      </c>
      <c r="F6250" t="str">
        <f>HYPERLINK("http://www.sec.gov/Archives/edgar/data/1317630/0001628280-16-011699-index.html")</f>
        <v>http://www.sec.gov/Archives/edgar/data/1317630/0001628280-16-011699-index.html</v>
      </c>
    </row>
    <row r="6251" spans="1:6" x14ac:dyDescent="0.2">
      <c r="A6251" t="s">
        <v>5712</v>
      </c>
      <c r="B6251" s="1">
        <v>1324404</v>
      </c>
      <c r="C6251" s="1">
        <v>2870</v>
      </c>
      <c r="D6251" s="2">
        <v>42425</v>
      </c>
      <c r="E6251" s="1" t="s">
        <v>18</v>
      </c>
      <c r="F6251" t="str">
        <f>HYPERLINK("http://www.sec.gov/Archives/edgar/data/1324404/0001324404-16-000019-index.html")</f>
        <v>http://www.sec.gov/Archives/edgar/data/1324404/0001324404-16-000019-index.html</v>
      </c>
    </row>
    <row r="6252" spans="1:6" x14ac:dyDescent="0.2">
      <c r="A6252" t="s">
        <v>5713</v>
      </c>
      <c r="B6252" s="1">
        <v>1326141</v>
      </c>
      <c r="C6252" s="1">
        <v>6282</v>
      </c>
      <c r="D6252" s="2">
        <v>42425</v>
      </c>
      <c r="E6252" s="1" t="s">
        <v>18</v>
      </c>
      <c r="F6252" t="str">
        <f>HYPERLINK("http://www.sec.gov/Archives/edgar/data/1326141/0001193125-16-478554-index.html")</f>
        <v>http://www.sec.gov/Archives/edgar/data/1326141/0001193125-16-478554-index.html</v>
      </c>
    </row>
    <row r="6253" spans="1:6" x14ac:dyDescent="0.2">
      <c r="A6253" t="s">
        <v>5714</v>
      </c>
      <c r="B6253" s="1">
        <v>1326160</v>
      </c>
      <c r="C6253" s="1">
        <v>4931</v>
      </c>
      <c r="D6253" s="2">
        <v>42425</v>
      </c>
      <c r="E6253" s="1" t="s">
        <v>18</v>
      </c>
      <c r="F6253" t="str">
        <f>HYPERLINK("http://www.sec.gov/Archives/edgar/data/1326160/0001326160-16-000221-index.html")</f>
        <v>http://www.sec.gov/Archives/edgar/data/1326160/0001326160-16-000221-index.html</v>
      </c>
    </row>
    <row r="6254" spans="1:6" x14ac:dyDescent="0.2">
      <c r="A6254" t="s">
        <v>5715</v>
      </c>
      <c r="B6254" s="1">
        <v>1328581</v>
      </c>
      <c r="C6254" s="1">
        <v>5030</v>
      </c>
      <c r="D6254" s="2">
        <v>42425</v>
      </c>
      <c r="E6254" s="1" t="s">
        <v>18</v>
      </c>
      <c r="F6254" t="str">
        <f>HYPERLINK("http://www.sec.gov/Archives/edgar/data/1328581/0001328581-16-000155-index.html")</f>
        <v>http://www.sec.gov/Archives/edgar/data/1328581/0001328581-16-000155-index.html</v>
      </c>
    </row>
    <row r="6255" spans="1:6" x14ac:dyDescent="0.2">
      <c r="A6255" t="s">
        <v>5716</v>
      </c>
      <c r="B6255" s="1">
        <v>1334978</v>
      </c>
      <c r="C6255" s="1">
        <v>7310</v>
      </c>
      <c r="D6255" s="2">
        <v>42425</v>
      </c>
      <c r="E6255" s="1" t="s">
        <v>18</v>
      </c>
      <c r="F6255" t="str">
        <f>HYPERLINK("http://www.sec.gov/Archives/edgar/data/1334978/0001334978-16-000018-index.html")</f>
        <v>http://www.sec.gov/Archives/edgar/data/1334978/0001334978-16-000018-index.html</v>
      </c>
    </row>
    <row r="6256" spans="1:6" x14ac:dyDescent="0.2">
      <c r="A6256" t="s">
        <v>1134</v>
      </c>
      <c r="B6256" s="1">
        <v>1335258</v>
      </c>
      <c r="C6256" s="1">
        <v>7900</v>
      </c>
      <c r="D6256" s="2">
        <v>42425</v>
      </c>
      <c r="E6256" s="1" t="s">
        <v>18</v>
      </c>
      <c r="F6256" t="str">
        <f>HYPERLINK("http://www.sec.gov/Archives/edgar/data/1335258/0001335258-16-000167-index.html")</f>
        <v>http://www.sec.gov/Archives/edgar/data/1335258/0001335258-16-000167-index.html</v>
      </c>
    </row>
    <row r="6257" spans="1:6" x14ac:dyDescent="0.2">
      <c r="A6257" t="s">
        <v>5717</v>
      </c>
      <c r="B6257" s="1">
        <v>1338065</v>
      </c>
      <c r="C6257" s="1">
        <v>4922</v>
      </c>
      <c r="D6257" s="2">
        <v>42425</v>
      </c>
      <c r="E6257" s="1" t="s">
        <v>18</v>
      </c>
      <c r="F6257" t="str">
        <f>HYPERLINK("http://www.sec.gov/Archives/edgar/data/1338065/0001338065-16-000076-index.html")</f>
        <v>http://www.sec.gov/Archives/edgar/data/1338065/0001338065-16-000076-index.html</v>
      </c>
    </row>
    <row r="6258" spans="1:6" x14ac:dyDescent="0.2">
      <c r="A6258" t="s">
        <v>5718</v>
      </c>
      <c r="B6258" s="1">
        <v>1339605</v>
      </c>
      <c r="C6258" s="1">
        <v>7350</v>
      </c>
      <c r="D6258" s="2">
        <v>42425</v>
      </c>
      <c r="E6258" s="1" t="s">
        <v>18</v>
      </c>
      <c r="F6258" t="str">
        <f>HYPERLINK("http://www.sec.gov/Archives/edgar/data/1339605/0001564590-16-013363-index.html")</f>
        <v>http://www.sec.gov/Archives/edgar/data/1339605/0001564590-16-013363-index.html</v>
      </c>
    </row>
    <row r="6259" spans="1:6" x14ac:dyDescent="0.2">
      <c r="A6259" t="s">
        <v>5719</v>
      </c>
      <c r="B6259" s="1">
        <v>1347613</v>
      </c>
      <c r="C6259" s="1">
        <v>2834</v>
      </c>
      <c r="D6259" s="2">
        <v>42425</v>
      </c>
      <c r="E6259" s="1" t="s">
        <v>18</v>
      </c>
      <c r="F6259" t="str">
        <f>HYPERLINK("http://www.sec.gov/Archives/edgar/data/1347613/0001104659-16-100066-index.html")</f>
        <v>http://www.sec.gov/Archives/edgar/data/1347613/0001104659-16-100066-index.html</v>
      </c>
    </row>
    <row r="6260" spans="1:6" x14ac:dyDescent="0.2">
      <c r="A6260" t="s">
        <v>5720</v>
      </c>
      <c r="B6260" s="1">
        <v>1358071</v>
      </c>
      <c r="C6260" s="1">
        <v>1311</v>
      </c>
      <c r="D6260" s="2">
        <v>42425</v>
      </c>
      <c r="E6260" s="1" t="s">
        <v>18</v>
      </c>
      <c r="F6260" t="str">
        <f>HYPERLINK("http://www.sec.gov/Archives/edgar/data/1358071/0001358071-16-000026-index.html")</f>
        <v>http://www.sec.gov/Archives/edgar/data/1358071/0001358071-16-000026-index.html</v>
      </c>
    </row>
    <row r="6261" spans="1:6" x14ac:dyDescent="0.2">
      <c r="A6261" t="s">
        <v>5721</v>
      </c>
      <c r="B6261" s="1">
        <v>1366744</v>
      </c>
      <c r="C6261" s="1">
        <v>2860</v>
      </c>
      <c r="D6261" s="2">
        <v>42425</v>
      </c>
      <c r="E6261" s="1" t="s">
        <v>18</v>
      </c>
      <c r="F6261" t="str">
        <f>HYPERLINK("http://www.sec.gov/Archives/edgar/data/1366744/0001366744-16-000033-index.html")</f>
        <v>http://www.sec.gov/Archives/edgar/data/1366744/0001366744-16-000033-index.html</v>
      </c>
    </row>
    <row r="6262" spans="1:6" x14ac:dyDescent="0.2">
      <c r="A6262" t="s">
        <v>5722</v>
      </c>
      <c r="B6262" s="1">
        <v>1369868</v>
      </c>
      <c r="C6262" s="1">
        <v>2836</v>
      </c>
      <c r="D6262" s="2">
        <v>42425</v>
      </c>
      <c r="E6262" s="1" t="s">
        <v>18</v>
      </c>
      <c r="F6262" t="str">
        <f>HYPERLINK("http://www.sec.gov/Archives/edgar/data/1369868/0001144204-16-084312-index.html")</f>
        <v>http://www.sec.gov/Archives/edgar/data/1369868/0001144204-16-084312-index.html</v>
      </c>
    </row>
    <row r="6263" spans="1:6" x14ac:dyDescent="0.2">
      <c r="A6263" t="s">
        <v>5723</v>
      </c>
      <c r="B6263" s="1">
        <v>1373707</v>
      </c>
      <c r="C6263" s="1">
        <v>2834</v>
      </c>
      <c r="D6263" s="2">
        <v>42425</v>
      </c>
      <c r="E6263" s="1" t="s">
        <v>18</v>
      </c>
      <c r="F6263" t="str">
        <f>HYPERLINK("http://www.sec.gov/Archives/edgar/data/1373707/0001564590-16-013419-index.html")</f>
        <v>http://www.sec.gov/Archives/edgar/data/1373707/0001564590-16-013419-index.html</v>
      </c>
    </row>
    <row r="6264" spans="1:6" x14ac:dyDescent="0.2">
      <c r="A6264" t="s">
        <v>5724</v>
      </c>
      <c r="B6264" s="1">
        <v>1373715</v>
      </c>
      <c r="C6264" s="1">
        <v>7372</v>
      </c>
      <c r="D6264" s="2">
        <v>42425</v>
      </c>
      <c r="E6264" s="1" t="s">
        <v>18</v>
      </c>
      <c r="F6264" t="str">
        <f>HYPERLINK("http://www.sec.gov/Archives/edgar/data/1373715/0001373715-16-000324-index.html")</f>
        <v>http://www.sec.gov/Archives/edgar/data/1373715/0001373715-16-000324-index.html</v>
      </c>
    </row>
    <row r="6265" spans="1:6" x14ac:dyDescent="0.2">
      <c r="A6265" t="s">
        <v>5725</v>
      </c>
      <c r="B6265" s="1">
        <v>1373835</v>
      </c>
      <c r="C6265" s="1">
        <v>4923</v>
      </c>
      <c r="D6265" s="2">
        <v>42425</v>
      </c>
      <c r="E6265" s="1" t="s">
        <v>18</v>
      </c>
      <c r="F6265" t="str">
        <f>HYPERLINK("http://www.sec.gov/Archives/edgar/data/1373835/0001373835-16-000014-index.html")</f>
        <v>http://www.sec.gov/Archives/edgar/data/1373835/0001373835-16-000014-index.html</v>
      </c>
    </row>
    <row r="6266" spans="1:6" x14ac:dyDescent="0.2">
      <c r="A6266" t="s">
        <v>5726</v>
      </c>
      <c r="B6266" s="1">
        <v>1374128</v>
      </c>
      <c r="C6266" s="1">
        <v>3841</v>
      </c>
      <c r="D6266" s="2">
        <v>42425</v>
      </c>
      <c r="E6266" s="1" t="s">
        <v>18</v>
      </c>
      <c r="F6266" t="str">
        <f>HYPERLINK("http://www.sec.gov/Archives/edgar/data/1374128/0001564590-16-013416-index.html")</f>
        <v>http://www.sec.gov/Archives/edgar/data/1374128/0001564590-16-013416-index.html</v>
      </c>
    </row>
    <row r="6267" spans="1:6" x14ac:dyDescent="0.2">
      <c r="A6267" t="s">
        <v>5727</v>
      </c>
      <c r="B6267" s="1">
        <v>1375557</v>
      </c>
      <c r="C6267" s="1">
        <v>7372</v>
      </c>
      <c r="D6267" s="2">
        <v>42425</v>
      </c>
      <c r="E6267" s="1" t="s">
        <v>18</v>
      </c>
      <c r="F6267" t="str">
        <f>HYPERLINK("http://www.sec.gov/Archives/edgar/data/1375557/0001104659-16-099794-index.html")</f>
        <v>http://www.sec.gov/Archives/edgar/data/1375557/0001104659-16-099794-index.html</v>
      </c>
    </row>
    <row r="6268" spans="1:6" x14ac:dyDescent="0.2">
      <c r="A6268" t="s">
        <v>5728</v>
      </c>
      <c r="B6268" s="1">
        <v>1379895</v>
      </c>
      <c r="C6268" s="1">
        <v>4911</v>
      </c>
      <c r="D6268" s="2">
        <v>42425</v>
      </c>
      <c r="E6268" s="1" t="s">
        <v>18</v>
      </c>
      <c r="F6268" t="str">
        <f>HYPERLINK("http://www.sec.gov/Archives/edgar/data/1379895/0001379895-16-000022-index.html")</f>
        <v>http://www.sec.gov/Archives/edgar/data/1379895/0001379895-16-000022-index.html</v>
      </c>
    </row>
    <row r="6269" spans="1:6" x14ac:dyDescent="0.2">
      <c r="A6269" t="s">
        <v>5729</v>
      </c>
      <c r="B6269" s="1">
        <v>1380393</v>
      </c>
      <c r="C6269" s="1">
        <v>6282</v>
      </c>
      <c r="D6269" s="2">
        <v>42425</v>
      </c>
      <c r="E6269" s="1" t="s">
        <v>18</v>
      </c>
      <c r="F6269" t="str">
        <f>HYPERLINK("http://www.sec.gov/Archives/edgar/data/1380393/0001380393-16-000027-index.html")</f>
        <v>http://www.sec.gov/Archives/edgar/data/1380393/0001380393-16-000027-index.html</v>
      </c>
    </row>
    <row r="6270" spans="1:6" x14ac:dyDescent="0.2">
      <c r="A6270" t="s">
        <v>5730</v>
      </c>
      <c r="B6270" s="1">
        <v>1394074</v>
      </c>
      <c r="C6270" s="1">
        <v>4922</v>
      </c>
      <c r="D6270" s="2">
        <v>42425</v>
      </c>
      <c r="E6270" s="1" t="s">
        <v>18</v>
      </c>
      <c r="F6270" t="str">
        <f>HYPERLINK("http://www.sec.gov/Archives/edgar/data/1394074/0001394074-16-000015-index.html")</f>
        <v>http://www.sec.gov/Archives/edgar/data/1394074/0001394074-16-000015-index.html</v>
      </c>
    </row>
    <row r="6271" spans="1:6" x14ac:dyDescent="0.2">
      <c r="A6271" t="s">
        <v>5731</v>
      </c>
      <c r="B6271" s="1">
        <v>1396009</v>
      </c>
      <c r="C6271" s="1">
        <v>1400</v>
      </c>
      <c r="D6271" s="2">
        <v>42425</v>
      </c>
      <c r="E6271" s="1" t="s">
        <v>18</v>
      </c>
      <c r="F6271" t="str">
        <f>HYPERLINK("http://www.sec.gov/Archives/edgar/data/1396009/0001396009-16-000044-index.html")</f>
        <v>http://www.sec.gov/Archives/edgar/data/1396009/0001396009-16-000044-index.html</v>
      </c>
    </row>
    <row r="6272" spans="1:6" x14ac:dyDescent="0.2">
      <c r="A6272" t="s">
        <v>5732</v>
      </c>
      <c r="B6272" s="1">
        <v>1396814</v>
      </c>
      <c r="C6272" s="1">
        <v>2834</v>
      </c>
      <c r="D6272" s="2">
        <v>42425</v>
      </c>
      <c r="E6272" s="1" t="s">
        <v>18</v>
      </c>
      <c r="F6272" t="str">
        <f>HYPERLINK("http://www.sec.gov/Archives/edgar/data/1396814/0001628280-16-011728-index.html")</f>
        <v>http://www.sec.gov/Archives/edgar/data/1396814/0001628280-16-011728-index.html</v>
      </c>
    </row>
    <row r="6273" spans="1:6" x14ac:dyDescent="0.2">
      <c r="A6273" t="s">
        <v>5733</v>
      </c>
      <c r="B6273" s="1">
        <v>1397911</v>
      </c>
      <c r="C6273" s="1">
        <v>6200</v>
      </c>
      <c r="D6273" s="2">
        <v>42425</v>
      </c>
      <c r="E6273" s="1" t="s">
        <v>18</v>
      </c>
      <c r="F6273" t="str">
        <f>HYPERLINK("http://www.sec.gov/Archives/edgar/data/1397911/0001397911-16-000219-index.html")</f>
        <v>http://www.sec.gov/Archives/edgar/data/1397911/0001397911-16-000219-index.html</v>
      </c>
    </row>
    <row r="6274" spans="1:6" x14ac:dyDescent="0.2">
      <c r="A6274" t="s">
        <v>5734</v>
      </c>
      <c r="B6274" s="1">
        <v>1400891</v>
      </c>
      <c r="C6274" s="1">
        <v>4832</v>
      </c>
      <c r="D6274" s="2">
        <v>42425</v>
      </c>
      <c r="E6274" s="1" t="s">
        <v>18</v>
      </c>
      <c r="F6274" t="str">
        <f>HYPERLINK("http://www.sec.gov/Archives/edgar/data/1400891/0001400891-16-000051-index.html")</f>
        <v>http://www.sec.gov/Archives/edgar/data/1400891/0001400891-16-000051-index.html</v>
      </c>
    </row>
    <row r="6275" spans="1:6" x14ac:dyDescent="0.2">
      <c r="A6275" t="s">
        <v>5735</v>
      </c>
      <c r="B6275" s="1">
        <v>1402057</v>
      </c>
      <c r="C6275" s="1">
        <v>5961</v>
      </c>
      <c r="D6275" s="2">
        <v>42425</v>
      </c>
      <c r="E6275" s="1" t="s">
        <v>18</v>
      </c>
      <c r="F6275" t="str">
        <f>HYPERLINK("http://www.sec.gov/Archives/edgar/data/1402057/0001402057-16-000057-index.html")</f>
        <v>http://www.sec.gov/Archives/edgar/data/1402057/0001402057-16-000057-index.html</v>
      </c>
    </row>
    <row r="6276" spans="1:6" x14ac:dyDescent="0.2">
      <c r="A6276" t="s">
        <v>5736</v>
      </c>
      <c r="B6276" s="1">
        <v>1409493</v>
      </c>
      <c r="C6276" s="1">
        <v>6798</v>
      </c>
      <c r="D6276" s="2">
        <v>42425</v>
      </c>
      <c r="E6276" s="1" t="s">
        <v>18</v>
      </c>
      <c r="F6276" t="str">
        <f>HYPERLINK("http://www.sec.gov/Archives/edgar/data/1409493/0001157523-16-004744-index.html")</f>
        <v>http://www.sec.gov/Archives/edgar/data/1409493/0001157523-16-004744-index.html</v>
      </c>
    </row>
    <row r="6277" spans="1:6" x14ac:dyDescent="0.2">
      <c r="A6277" t="s">
        <v>5737</v>
      </c>
      <c r="B6277" s="1">
        <v>1410636</v>
      </c>
      <c r="C6277" s="1">
        <v>4941</v>
      </c>
      <c r="D6277" s="2">
        <v>42425</v>
      </c>
      <c r="E6277" s="1" t="s">
        <v>18</v>
      </c>
      <c r="F6277" t="str">
        <f>HYPERLINK("http://www.sec.gov/Archives/edgar/data/1410636/0001564590-16-013247-index.html")</f>
        <v>http://www.sec.gov/Archives/edgar/data/1410636/0001564590-16-013247-index.html</v>
      </c>
    </row>
    <row r="6278" spans="1:6" x14ac:dyDescent="0.2">
      <c r="A6278" t="s">
        <v>5738</v>
      </c>
      <c r="B6278" s="1">
        <v>1412232</v>
      </c>
      <c r="C6278" s="1">
        <v>5040</v>
      </c>
      <c r="D6278" s="2">
        <v>42425</v>
      </c>
      <c r="E6278" s="1" t="s">
        <v>18</v>
      </c>
      <c r="F6278" t="str">
        <f>HYPERLINK("http://www.sec.gov/Archives/edgar/data/1412232/0001412232-16-000065-index.html")</f>
        <v>http://www.sec.gov/Archives/edgar/data/1412232/0001412232-16-000065-index.html</v>
      </c>
    </row>
    <row r="6279" spans="1:6" x14ac:dyDescent="0.2">
      <c r="A6279" t="s">
        <v>5739</v>
      </c>
      <c r="B6279" s="1">
        <v>1414475</v>
      </c>
      <c r="C6279" s="1">
        <v>4922</v>
      </c>
      <c r="D6279" s="2">
        <v>42425</v>
      </c>
      <c r="E6279" s="1" t="s">
        <v>18</v>
      </c>
      <c r="F6279" t="str">
        <f>HYPERLINK("http://www.sec.gov/Archives/edgar/data/1414475/0001414475-16-000061-index.html")</f>
        <v>http://www.sec.gov/Archives/edgar/data/1414475/0001414475-16-000061-index.html</v>
      </c>
    </row>
    <row r="6280" spans="1:6" x14ac:dyDescent="0.2">
      <c r="A6280" t="s">
        <v>5740</v>
      </c>
      <c r="B6280" s="1">
        <v>1416792</v>
      </c>
      <c r="C6280" s="1">
        <v>2834</v>
      </c>
      <c r="D6280" s="2">
        <v>42425</v>
      </c>
      <c r="E6280" s="1" t="s">
        <v>18</v>
      </c>
      <c r="F6280" t="str">
        <f>HYPERLINK("http://www.sec.gov/Archives/edgar/data/1416792/0001564590-16-013394-index.html")</f>
        <v>http://www.sec.gov/Archives/edgar/data/1416792/0001564590-16-013394-index.html</v>
      </c>
    </row>
    <row r="6281" spans="1:6" x14ac:dyDescent="0.2">
      <c r="A6281" t="s">
        <v>5741</v>
      </c>
      <c r="B6281" s="1">
        <v>1418121</v>
      </c>
      <c r="C6281" s="1">
        <v>6798</v>
      </c>
      <c r="D6281" s="2">
        <v>42425</v>
      </c>
      <c r="E6281" s="1" t="s">
        <v>18</v>
      </c>
      <c r="F6281" t="str">
        <f>HYPERLINK("http://www.sec.gov/Archives/edgar/data/1418121/0001185185-16-003772-index.html")</f>
        <v>http://www.sec.gov/Archives/edgar/data/1418121/0001185185-16-003772-index.html</v>
      </c>
    </row>
    <row r="6282" spans="1:6" x14ac:dyDescent="0.2">
      <c r="A6282" t="s">
        <v>5742</v>
      </c>
      <c r="B6282" s="1">
        <v>1418819</v>
      </c>
      <c r="C6282" s="1">
        <v>3669</v>
      </c>
      <c r="D6282" s="2">
        <v>42425</v>
      </c>
      <c r="E6282" s="1" t="s">
        <v>18</v>
      </c>
      <c r="F6282" t="str">
        <f>HYPERLINK("http://www.sec.gov/Archives/edgar/data/1418819/0001564590-16-013397-index.html")</f>
        <v>http://www.sec.gov/Archives/edgar/data/1418819/0001564590-16-013397-index.html</v>
      </c>
    </row>
    <row r="6283" spans="1:6" x14ac:dyDescent="0.2">
      <c r="A6283" t="s">
        <v>5743</v>
      </c>
      <c r="B6283" s="1">
        <v>1423902</v>
      </c>
      <c r="C6283" s="1">
        <v>4922</v>
      </c>
      <c r="D6283" s="2">
        <v>42425</v>
      </c>
      <c r="E6283" s="1" t="s">
        <v>18</v>
      </c>
      <c r="F6283" t="str">
        <f>HYPERLINK("http://www.sec.gov/Archives/edgar/data/1423902/0001423902-16-000042-index.html")</f>
        <v>http://www.sec.gov/Archives/edgar/data/1423902/0001423902-16-000042-index.html</v>
      </c>
    </row>
    <row r="6284" spans="1:6" x14ac:dyDescent="0.2">
      <c r="A6284" t="s">
        <v>5744</v>
      </c>
      <c r="B6284" s="1">
        <v>1428522</v>
      </c>
      <c r="C6284" s="1">
        <v>2834</v>
      </c>
      <c r="D6284" s="2">
        <v>42425</v>
      </c>
      <c r="E6284" s="1" t="s">
        <v>18</v>
      </c>
      <c r="F6284" t="str">
        <f>HYPERLINK("http://www.sec.gov/Archives/edgar/data/1428522/0001047469-16-010440-index.html")</f>
        <v>http://www.sec.gov/Archives/edgar/data/1428522/0001047469-16-010440-index.html</v>
      </c>
    </row>
    <row r="6285" spans="1:6" x14ac:dyDescent="0.2">
      <c r="A6285" t="s">
        <v>5745</v>
      </c>
      <c r="B6285" s="1">
        <v>1430602</v>
      </c>
      <c r="C6285" s="1">
        <v>4841</v>
      </c>
      <c r="D6285" s="2">
        <v>42425</v>
      </c>
      <c r="E6285" s="1" t="s">
        <v>18</v>
      </c>
      <c r="F6285" t="str">
        <f>HYPERLINK("http://www.sec.gov/Archives/edgar/data/1430602/0001564590-16-013418-index.html")</f>
        <v>http://www.sec.gov/Archives/edgar/data/1430602/0001564590-16-013418-index.html</v>
      </c>
    </row>
    <row r="6286" spans="1:6" x14ac:dyDescent="0.2">
      <c r="A6286" t="s">
        <v>5746</v>
      </c>
      <c r="B6286" s="1">
        <v>1434868</v>
      </c>
      <c r="C6286" s="1">
        <v>2834</v>
      </c>
      <c r="D6286" s="2">
        <v>42425</v>
      </c>
      <c r="E6286" s="1" t="s">
        <v>18</v>
      </c>
      <c r="F6286" t="str">
        <f>HYPERLINK("http://www.sec.gov/Archives/edgar/data/1434868/0001047469-16-010437-index.html")</f>
        <v>http://www.sec.gov/Archives/edgar/data/1434868/0001047469-16-010437-index.html</v>
      </c>
    </row>
    <row r="6287" spans="1:6" x14ac:dyDescent="0.2">
      <c r="A6287" t="s">
        <v>5747</v>
      </c>
      <c r="B6287" s="1">
        <v>1438231</v>
      </c>
      <c r="C6287" s="1">
        <v>7373</v>
      </c>
      <c r="D6287" s="2">
        <v>42425</v>
      </c>
      <c r="E6287" s="1" t="s">
        <v>18</v>
      </c>
      <c r="F6287" t="str">
        <f>HYPERLINK("http://www.sec.gov/Archives/edgar/data/1438231/0001193125-16-478031-index.html")</f>
        <v>http://www.sec.gov/Archives/edgar/data/1438231/0001193125-16-478031-index.html</v>
      </c>
    </row>
    <row r="6288" spans="1:6" x14ac:dyDescent="0.2">
      <c r="A6288" t="s">
        <v>5748</v>
      </c>
      <c r="B6288" s="1">
        <v>1451505</v>
      </c>
      <c r="C6288" s="1">
        <v>1381</v>
      </c>
      <c r="D6288" s="2">
        <v>42425</v>
      </c>
      <c r="E6288" s="1" t="s">
        <v>18</v>
      </c>
      <c r="F6288" t="str">
        <f>HYPERLINK("http://www.sec.gov/Archives/edgar/data/1451505/0001558370-16-003476-index.html")</f>
        <v>http://www.sec.gov/Archives/edgar/data/1451505/0001558370-16-003476-index.html</v>
      </c>
    </row>
    <row r="6289" spans="1:6" x14ac:dyDescent="0.2">
      <c r="A6289" t="s">
        <v>5749</v>
      </c>
      <c r="B6289" s="1">
        <v>1457737</v>
      </c>
      <c r="C6289" s="1">
        <v>4813</v>
      </c>
      <c r="D6289" s="2">
        <v>42425</v>
      </c>
      <c r="E6289" s="1" t="s">
        <v>18</v>
      </c>
      <c r="F6289" t="str">
        <f>HYPERLINK("http://www.sec.gov/Archives/edgar/data/1457737/0001334978-16-000019-index.html")</f>
        <v>http://www.sec.gov/Archives/edgar/data/1457737/0001334978-16-000019-index.html</v>
      </c>
    </row>
    <row r="6290" spans="1:6" x14ac:dyDescent="0.2">
      <c r="A6290" t="s">
        <v>5750</v>
      </c>
      <c r="B6290" s="1">
        <v>1458891</v>
      </c>
      <c r="C6290" s="1">
        <v>1381</v>
      </c>
      <c r="D6290" s="2">
        <v>42425</v>
      </c>
      <c r="E6290" s="1" t="s">
        <v>18</v>
      </c>
      <c r="F6290" t="str">
        <f>HYPERLINK("http://www.sec.gov/Archives/edgar/data/1458891/0001564590-16-013321-index.html")</f>
        <v>http://www.sec.gov/Archives/edgar/data/1458891/0001564590-16-013321-index.html</v>
      </c>
    </row>
    <row r="6291" spans="1:6" x14ac:dyDescent="0.2">
      <c r="A6291" t="s">
        <v>1247</v>
      </c>
      <c r="B6291" s="1">
        <v>1461993</v>
      </c>
      <c r="C6291" s="1">
        <v>2834</v>
      </c>
      <c r="D6291" s="2">
        <v>42425</v>
      </c>
      <c r="E6291" s="1" t="s">
        <v>18</v>
      </c>
      <c r="F6291" t="str">
        <f>HYPERLINK("http://www.sec.gov/Archives/edgar/data/1461993/0001564590-16-013362-index.html")</f>
        <v>http://www.sec.gov/Archives/edgar/data/1461993/0001564590-16-013362-index.html</v>
      </c>
    </row>
    <row r="6292" spans="1:6" x14ac:dyDescent="0.2">
      <c r="A6292" t="s">
        <v>5751</v>
      </c>
      <c r="B6292" s="1">
        <v>1465128</v>
      </c>
      <c r="C6292" s="1">
        <v>6798</v>
      </c>
      <c r="D6292" s="2">
        <v>42425</v>
      </c>
      <c r="E6292" s="1" t="s">
        <v>18</v>
      </c>
      <c r="F6292" t="str">
        <f>HYPERLINK("http://www.sec.gov/Archives/edgar/data/1465128/0001558370-16-003494-index.html")</f>
        <v>http://www.sec.gov/Archives/edgar/data/1465128/0001558370-16-003494-index.html</v>
      </c>
    </row>
    <row r="6293" spans="1:6" x14ac:dyDescent="0.2">
      <c r="A6293" t="s">
        <v>5752</v>
      </c>
      <c r="B6293" s="1">
        <v>1475922</v>
      </c>
      <c r="C6293" s="1">
        <v>6311</v>
      </c>
      <c r="D6293" s="2">
        <v>42425</v>
      </c>
      <c r="E6293" s="1" t="s">
        <v>18</v>
      </c>
      <c r="F6293" t="str">
        <f>HYPERLINK("http://www.sec.gov/Archives/edgar/data/1475922/0001564590-16-013368-index.html")</f>
        <v>http://www.sec.gov/Archives/edgar/data/1475922/0001564590-16-013368-index.html</v>
      </c>
    </row>
    <row r="6294" spans="1:6" x14ac:dyDescent="0.2">
      <c r="A6294" t="s">
        <v>5753</v>
      </c>
      <c r="B6294" s="1">
        <v>1479094</v>
      </c>
      <c r="C6294" s="1">
        <v>6798</v>
      </c>
      <c r="D6294" s="2">
        <v>42425</v>
      </c>
      <c r="E6294" s="1" t="s">
        <v>18</v>
      </c>
      <c r="F6294" t="str">
        <f>HYPERLINK("http://www.sec.gov/Archives/edgar/data/1479094/0001479094-16-000006-index.html")</f>
        <v>http://www.sec.gov/Archives/edgar/data/1479094/0001479094-16-000006-index.html</v>
      </c>
    </row>
    <row r="6295" spans="1:6" x14ac:dyDescent="0.2">
      <c r="A6295" t="s">
        <v>5754</v>
      </c>
      <c r="B6295" s="1">
        <v>1486159</v>
      </c>
      <c r="C6295" s="1">
        <v>1311</v>
      </c>
      <c r="D6295" s="2">
        <v>42425</v>
      </c>
      <c r="E6295" s="1" t="s">
        <v>18</v>
      </c>
      <c r="F6295" t="str">
        <f>HYPERLINK("http://www.sec.gov/Archives/edgar/data/1486159/0001486159-16-000090-index.html")</f>
        <v>http://www.sec.gov/Archives/edgar/data/1486159/0001486159-16-000090-index.html</v>
      </c>
    </row>
    <row r="6296" spans="1:6" x14ac:dyDescent="0.2">
      <c r="A6296" t="s">
        <v>5755</v>
      </c>
      <c r="B6296" s="1">
        <v>1487712</v>
      </c>
      <c r="C6296" s="1">
        <v>7359</v>
      </c>
      <c r="D6296" s="2">
        <v>42425</v>
      </c>
      <c r="E6296" s="1" t="s">
        <v>18</v>
      </c>
      <c r="F6296" t="str">
        <f>HYPERLINK("http://www.sec.gov/Archives/edgar/data/1487712/0001558370-16-003544-index.html")</f>
        <v>http://www.sec.gov/Archives/edgar/data/1487712/0001558370-16-003544-index.html</v>
      </c>
    </row>
    <row r="6297" spans="1:6" x14ac:dyDescent="0.2">
      <c r="A6297" t="s">
        <v>5756</v>
      </c>
      <c r="B6297" s="1">
        <v>1507615</v>
      </c>
      <c r="C6297" s="1">
        <v>4610</v>
      </c>
      <c r="D6297" s="2">
        <v>42425</v>
      </c>
      <c r="E6297" s="1" t="s">
        <v>18</v>
      </c>
      <c r="F6297" t="str">
        <f>HYPERLINK("http://www.sec.gov/Archives/edgar/data/1507615/0001507615-16-000080-index.html")</f>
        <v>http://www.sec.gov/Archives/edgar/data/1507615/0001507615-16-000080-index.html</v>
      </c>
    </row>
    <row r="6298" spans="1:6" x14ac:dyDescent="0.2">
      <c r="A6298" t="s">
        <v>5757</v>
      </c>
      <c r="B6298" s="1">
        <v>1507934</v>
      </c>
      <c r="C6298" s="1">
        <v>4841</v>
      </c>
      <c r="D6298" s="2">
        <v>42425</v>
      </c>
      <c r="E6298" s="1" t="s">
        <v>18</v>
      </c>
      <c r="F6298" t="str">
        <f>HYPERLINK("http://www.sec.gov/Archives/edgar/data/1507934/0001507934-16-000127-index.html")</f>
        <v>http://www.sec.gov/Archives/edgar/data/1507934/0001507934-16-000127-index.html</v>
      </c>
    </row>
    <row r="6299" spans="1:6" x14ac:dyDescent="0.2">
      <c r="A6299" t="s">
        <v>5758</v>
      </c>
      <c r="B6299" s="1">
        <v>1511337</v>
      </c>
      <c r="C6299" s="1">
        <v>6798</v>
      </c>
      <c r="D6299" s="2">
        <v>42425</v>
      </c>
      <c r="E6299" s="1" t="s">
        <v>18</v>
      </c>
      <c r="F6299" t="str">
        <f>HYPERLINK("http://www.sec.gov/Archives/edgar/data/1511337/0001511337-16-000282-index.html")</f>
        <v>http://www.sec.gov/Archives/edgar/data/1511337/0001511337-16-000282-index.html</v>
      </c>
    </row>
    <row r="6300" spans="1:6" x14ac:dyDescent="0.2">
      <c r="A6300" t="s">
        <v>5759</v>
      </c>
      <c r="B6300" s="1">
        <v>1514991</v>
      </c>
      <c r="C6300" s="1">
        <v>4841</v>
      </c>
      <c r="D6300" s="2">
        <v>42425</v>
      </c>
      <c r="E6300" s="1" t="s">
        <v>18</v>
      </c>
      <c r="F6300" t="str">
        <f>HYPERLINK("http://www.sec.gov/Archives/edgar/data/1514991/0001514991-16-000043-index.html")</f>
        <v>http://www.sec.gov/Archives/edgar/data/1514991/0001514991-16-000043-index.html</v>
      </c>
    </row>
    <row r="6301" spans="1:6" x14ac:dyDescent="0.2">
      <c r="A6301" t="s">
        <v>5760</v>
      </c>
      <c r="B6301" s="1">
        <v>1517302</v>
      </c>
      <c r="C6301" s="1">
        <v>6282</v>
      </c>
      <c r="D6301" s="2">
        <v>42425</v>
      </c>
      <c r="E6301" s="1" t="s">
        <v>18</v>
      </c>
      <c r="F6301" t="str">
        <f>HYPERLINK("http://www.sec.gov/Archives/edgar/data/1517302/0001517302-16-000074-index.html")</f>
        <v>http://www.sec.gov/Archives/edgar/data/1517302/0001517302-16-000074-index.html</v>
      </c>
    </row>
    <row r="6302" spans="1:6" x14ac:dyDescent="0.2">
      <c r="A6302" t="s">
        <v>5761</v>
      </c>
      <c r="B6302" s="1">
        <v>1518832</v>
      </c>
      <c r="C6302" s="1">
        <v>1311</v>
      </c>
      <c r="D6302" s="2">
        <v>42425</v>
      </c>
      <c r="E6302" s="1" t="s">
        <v>18</v>
      </c>
      <c r="F6302" t="str">
        <f>HYPERLINK("http://www.sec.gov/Archives/edgar/data/1518832/0001518832-16-000018-index.html")</f>
        <v>http://www.sec.gov/Archives/edgar/data/1518832/0001518832-16-000018-index.html</v>
      </c>
    </row>
    <row r="6303" spans="1:6" x14ac:dyDescent="0.2">
      <c r="A6303" t="s">
        <v>5762</v>
      </c>
      <c r="B6303" s="1">
        <v>1519751</v>
      </c>
      <c r="C6303" s="1">
        <v>1520</v>
      </c>
      <c r="D6303" s="2">
        <v>42425</v>
      </c>
      <c r="E6303" s="1" t="s">
        <v>18</v>
      </c>
      <c r="F6303" t="str">
        <f>HYPERLINK("http://www.sec.gov/Archives/edgar/data/1519751/0001193125-16-478315-index.html")</f>
        <v>http://www.sec.gov/Archives/edgar/data/1519751/0001193125-16-478315-index.html</v>
      </c>
    </row>
    <row r="6304" spans="1:6" x14ac:dyDescent="0.2">
      <c r="A6304" t="s">
        <v>5763</v>
      </c>
      <c r="B6304" s="1">
        <v>1520262</v>
      </c>
      <c r="C6304" s="1">
        <v>2834</v>
      </c>
      <c r="D6304" s="2">
        <v>42425</v>
      </c>
      <c r="E6304" s="1" t="s">
        <v>18</v>
      </c>
      <c r="F6304" t="str">
        <f>HYPERLINK("http://www.sec.gov/Archives/edgar/data/1520262/0001558370-16-003498-index.html")</f>
        <v>http://www.sec.gov/Archives/edgar/data/1520262/0001558370-16-003498-index.html</v>
      </c>
    </row>
    <row r="6305" spans="1:6" x14ac:dyDescent="0.2">
      <c r="A6305" t="s">
        <v>5764</v>
      </c>
      <c r="B6305" s="1">
        <v>1524358</v>
      </c>
      <c r="C6305" s="1">
        <v>6531</v>
      </c>
      <c r="D6305" s="2">
        <v>42425</v>
      </c>
      <c r="E6305" s="1" t="s">
        <v>18</v>
      </c>
      <c r="F6305" t="str">
        <f>HYPERLINK("http://www.sec.gov/Archives/edgar/data/1524358/0001193125-16-477463-index.html")</f>
        <v>http://www.sec.gov/Archives/edgar/data/1524358/0001193125-16-477463-index.html</v>
      </c>
    </row>
    <row r="6306" spans="1:6" x14ac:dyDescent="0.2">
      <c r="A6306" t="s">
        <v>5765</v>
      </c>
      <c r="B6306" s="1">
        <v>1530804</v>
      </c>
      <c r="C6306" s="1">
        <v>2810</v>
      </c>
      <c r="D6306" s="2">
        <v>42425</v>
      </c>
      <c r="E6306" s="1" t="s">
        <v>18</v>
      </c>
      <c r="F6306" t="str">
        <f>HYPERLINK("http://www.sec.gov/Archives/edgar/data/1530804/0001140361-16-054747-index.html")</f>
        <v>http://www.sec.gov/Archives/edgar/data/1530804/0001140361-16-054747-index.html</v>
      </c>
    </row>
    <row r="6307" spans="1:6" x14ac:dyDescent="0.2">
      <c r="A6307" t="s">
        <v>5766</v>
      </c>
      <c r="B6307" s="1">
        <v>1535031</v>
      </c>
      <c r="C6307" s="1">
        <v>3100</v>
      </c>
      <c r="D6307" s="2">
        <v>42425</v>
      </c>
      <c r="E6307" s="1" t="s">
        <v>18</v>
      </c>
      <c r="F6307" t="str">
        <f>HYPERLINK("http://www.sec.gov/Archives/edgar/data/1535031/0001535031-16-000072-index.html")</f>
        <v>http://www.sec.gov/Archives/edgar/data/1535031/0001535031-16-000072-index.html</v>
      </c>
    </row>
    <row r="6308" spans="1:6" x14ac:dyDescent="0.2">
      <c r="A6308" t="s">
        <v>5767</v>
      </c>
      <c r="B6308" s="1">
        <v>1535929</v>
      </c>
      <c r="C6308" s="1">
        <v>6311</v>
      </c>
      <c r="D6308" s="2">
        <v>42425</v>
      </c>
      <c r="E6308" s="1" t="s">
        <v>18</v>
      </c>
      <c r="F6308" t="str">
        <f>HYPERLINK("http://www.sec.gov/Archives/edgar/data/1535929/0001535929-16-000059-index.html")</f>
        <v>http://www.sec.gov/Archives/edgar/data/1535929/0001535929-16-000059-index.html</v>
      </c>
    </row>
    <row r="6309" spans="1:6" x14ac:dyDescent="0.2">
      <c r="A6309" t="s">
        <v>5768</v>
      </c>
      <c r="B6309" s="1">
        <v>1537054</v>
      </c>
      <c r="C6309" s="1">
        <v>4899</v>
      </c>
      <c r="D6309" s="2">
        <v>42425</v>
      </c>
      <c r="E6309" s="1" t="s">
        <v>18</v>
      </c>
      <c r="F6309" t="str">
        <f>HYPERLINK("http://www.sec.gov/Archives/edgar/data/1537054/0001193125-16-477307-index.html")</f>
        <v>http://www.sec.gov/Archives/edgar/data/1537054/0001193125-16-477307-index.html</v>
      </c>
    </row>
    <row r="6310" spans="1:6" x14ac:dyDescent="0.2">
      <c r="A6310" t="s">
        <v>5769</v>
      </c>
      <c r="B6310" s="1">
        <v>1538990</v>
      </c>
      <c r="C6310" s="1">
        <v>6798</v>
      </c>
      <c r="D6310" s="2">
        <v>42425</v>
      </c>
      <c r="E6310" s="1" t="s">
        <v>18</v>
      </c>
      <c r="F6310" t="str">
        <f>HYPERLINK("http://www.sec.gov/Archives/edgar/data/1538990/0001558370-16-003522-index.html")</f>
        <v>http://www.sec.gov/Archives/edgar/data/1538990/0001558370-16-003522-index.html</v>
      </c>
    </row>
    <row r="6311" spans="1:6" x14ac:dyDescent="0.2">
      <c r="A6311" t="s">
        <v>5770</v>
      </c>
      <c r="B6311" s="1">
        <v>1557255</v>
      </c>
      <c r="C6311" s="1">
        <v>6798</v>
      </c>
      <c r="D6311" s="2">
        <v>42425</v>
      </c>
      <c r="E6311" s="1" t="s">
        <v>18</v>
      </c>
      <c r="F6311" t="str">
        <f>HYPERLINK("http://www.sec.gov/Archives/edgar/data/1557255/0001557255-16-000115-index.html")</f>
        <v>http://www.sec.gov/Archives/edgar/data/1557255/0001557255-16-000115-index.html</v>
      </c>
    </row>
    <row r="6312" spans="1:6" x14ac:dyDescent="0.2">
      <c r="A6312" t="s">
        <v>5771</v>
      </c>
      <c r="B6312" s="1">
        <v>1559053</v>
      </c>
      <c r="C6312" s="1">
        <v>2834</v>
      </c>
      <c r="D6312" s="2">
        <v>42425</v>
      </c>
      <c r="E6312" s="1" t="s">
        <v>18</v>
      </c>
      <c r="F6312" t="str">
        <f>HYPERLINK("http://www.sec.gov/Archives/edgar/data/1559053/0001559053-16-000051-index.html")</f>
        <v>http://www.sec.gov/Archives/edgar/data/1559053/0001559053-16-000051-index.html</v>
      </c>
    </row>
    <row r="6313" spans="1:6" x14ac:dyDescent="0.2">
      <c r="A6313" t="s">
        <v>5772</v>
      </c>
      <c r="B6313" s="1">
        <v>1559270</v>
      </c>
      <c r="C6313" s="1">
        <v>4841</v>
      </c>
      <c r="D6313" s="2">
        <v>42425</v>
      </c>
      <c r="E6313" s="1" t="s">
        <v>18</v>
      </c>
      <c r="F6313" t="str">
        <f>HYPERLINK("http://www.sec.gov/Archives/edgar/data/1559270/0001559270-16-000051-index.html")</f>
        <v>http://www.sec.gov/Archives/edgar/data/1559270/0001559270-16-000051-index.html</v>
      </c>
    </row>
    <row r="6314" spans="1:6" x14ac:dyDescent="0.2">
      <c r="A6314" t="s">
        <v>5773</v>
      </c>
      <c r="B6314" s="1">
        <v>1562476</v>
      </c>
      <c r="C6314" s="1">
        <v>1531</v>
      </c>
      <c r="D6314" s="2">
        <v>42425</v>
      </c>
      <c r="E6314" s="1" t="s">
        <v>18</v>
      </c>
      <c r="F6314" t="str">
        <f>HYPERLINK("http://www.sec.gov/Archives/edgar/data/1562476/0001562476-16-000005-index.html")</f>
        <v>http://www.sec.gov/Archives/edgar/data/1562476/0001562476-16-000005-index.html</v>
      </c>
    </row>
    <row r="6315" spans="1:6" x14ac:dyDescent="0.2">
      <c r="A6315" t="s">
        <v>5774</v>
      </c>
      <c r="B6315" s="1">
        <v>1564618</v>
      </c>
      <c r="C6315" s="1">
        <v>6022</v>
      </c>
      <c r="D6315" s="2">
        <v>42425</v>
      </c>
      <c r="E6315" s="1" t="s">
        <v>18</v>
      </c>
      <c r="F6315" t="str">
        <f>HYPERLINK("http://www.sec.gov/Archives/edgar/data/1564618/0001564618-16-000153-index.html")</f>
        <v>http://www.sec.gov/Archives/edgar/data/1564618/0001564618-16-000153-index.html</v>
      </c>
    </row>
    <row r="6316" spans="1:6" x14ac:dyDescent="0.2">
      <c r="A6316" t="s">
        <v>5775</v>
      </c>
      <c r="B6316" s="1">
        <v>1564822</v>
      </c>
      <c r="C6316" s="1">
        <v>2000</v>
      </c>
      <c r="D6316" s="2">
        <v>42425</v>
      </c>
      <c r="E6316" s="1" t="s">
        <v>18</v>
      </c>
      <c r="F6316" t="str">
        <f>HYPERLINK("http://www.sec.gov/Archives/edgar/data/1564822/0001564822-16-000050-index.html")</f>
        <v>http://www.sec.gov/Archives/edgar/data/1564822/0001564822-16-000050-index.html</v>
      </c>
    </row>
    <row r="6317" spans="1:6" x14ac:dyDescent="0.2">
      <c r="A6317" t="s">
        <v>5776</v>
      </c>
      <c r="B6317" s="1">
        <v>1567514</v>
      </c>
      <c r="C6317" s="1">
        <v>2834</v>
      </c>
      <c r="D6317" s="2">
        <v>42425</v>
      </c>
      <c r="E6317" s="1" t="s">
        <v>18</v>
      </c>
      <c r="F6317" t="str">
        <f>HYPERLINK("http://www.sec.gov/Archives/edgar/data/1567514/0001193125-16-478475-index.html")</f>
        <v>http://www.sec.gov/Archives/edgar/data/1567514/0001193125-16-478475-index.html</v>
      </c>
    </row>
    <row r="6318" spans="1:6" x14ac:dyDescent="0.2">
      <c r="A6318" t="s">
        <v>5777</v>
      </c>
      <c r="B6318" s="1">
        <v>1571283</v>
      </c>
      <c r="C6318" s="1">
        <v>6798</v>
      </c>
      <c r="D6318" s="2">
        <v>42425</v>
      </c>
      <c r="E6318" s="1" t="s">
        <v>18</v>
      </c>
      <c r="F6318" t="str">
        <f>HYPERLINK("http://www.sec.gov/Archives/edgar/data/1571283/0001571283-16-000008-index.html")</f>
        <v>http://www.sec.gov/Archives/edgar/data/1571283/0001571283-16-000008-index.html</v>
      </c>
    </row>
    <row r="6319" spans="1:6" x14ac:dyDescent="0.2">
      <c r="A6319" t="s">
        <v>5778</v>
      </c>
      <c r="B6319" s="1">
        <v>1575515</v>
      </c>
      <c r="C6319" s="1">
        <v>5411</v>
      </c>
      <c r="D6319" s="2">
        <v>42425</v>
      </c>
      <c r="E6319" s="1" t="s">
        <v>18</v>
      </c>
      <c r="F6319" t="str">
        <f>HYPERLINK("http://www.sec.gov/Archives/edgar/data/1575515/0001564590-16-013299-index.html")</f>
        <v>http://www.sec.gov/Archives/edgar/data/1575515/0001564590-16-013299-index.html</v>
      </c>
    </row>
    <row r="6320" spans="1:6" x14ac:dyDescent="0.2">
      <c r="A6320" t="s">
        <v>5779</v>
      </c>
      <c r="B6320" s="1">
        <v>1576169</v>
      </c>
      <c r="C6320" s="1">
        <v>7372</v>
      </c>
      <c r="D6320" s="2">
        <v>42425</v>
      </c>
      <c r="E6320" s="1" t="s">
        <v>18</v>
      </c>
      <c r="F6320" t="str">
        <f>HYPERLINK("http://www.sec.gov/Archives/edgar/data/1576169/0001193125-16-478532-index.html")</f>
        <v>http://www.sec.gov/Archives/edgar/data/1576169/0001193125-16-478532-index.html</v>
      </c>
    </row>
    <row r="6321" spans="1:6" x14ac:dyDescent="0.2">
      <c r="A6321" t="s">
        <v>5780</v>
      </c>
      <c r="B6321" s="1">
        <v>1577966</v>
      </c>
      <c r="C6321" s="1">
        <v>6798</v>
      </c>
      <c r="D6321" s="2">
        <v>42425</v>
      </c>
      <c r="E6321" s="1" t="s">
        <v>18</v>
      </c>
      <c r="F6321" t="str">
        <f>HYPERLINK("http://www.sec.gov/Archives/edgar/data/1577966/0000860546-16-000064-index.html")</f>
        <v>http://www.sec.gov/Archives/edgar/data/1577966/0000860546-16-000064-index.html</v>
      </c>
    </row>
    <row r="6322" spans="1:6" x14ac:dyDescent="0.2">
      <c r="A6322" t="s">
        <v>5781</v>
      </c>
      <c r="B6322" s="1">
        <v>1579684</v>
      </c>
      <c r="C6322" s="1">
        <v>2711</v>
      </c>
      <c r="D6322" s="2">
        <v>42425</v>
      </c>
      <c r="E6322" s="1" t="s">
        <v>18</v>
      </c>
      <c r="F6322" t="str">
        <f>HYPERLINK("http://www.sec.gov/Archives/edgar/data/1579684/0001193125-16-478629-index.html")</f>
        <v>http://www.sec.gov/Archives/edgar/data/1579684/0001193125-16-478629-index.html</v>
      </c>
    </row>
    <row r="6323" spans="1:6" x14ac:dyDescent="0.2">
      <c r="A6323" t="s">
        <v>5782</v>
      </c>
      <c r="B6323" s="1">
        <v>1580156</v>
      </c>
      <c r="C6323" s="1">
        <v>2731</v>
      </c>
      <c r="D6323" s="2">
        <v>42425</v>
      </c>
      <c r="E6323" s="1" t="s">
        <v>18</v>
      </c>
      <c r="F6323" t="str">
        <f>HYPERLINK("http://www.sec.gov/Archives/edgar/data/1580156/0001193125-16-476833-index.html")</f>
        <v>http://www.sec.gov/Archives/edgar/data/1580156/0001193125-16-476833-index.html</v>
      </c>
    </row>
    <row r="6324" spans="1:6" x14ac:dyDescent="0.2">
      <c r="A6324" t="s">
        <v>5783</v>
      </c>
      <c r="B6324" s="1">
        <v>1581990</v>
      </c>
      <c r="C6324" s="1">
        <v>4610</v>
      </c>
      <c r="D6324" s="2">
        <v>42425</v>
      </c>
      <c r="E6324" s="1" t="s">
        <v>18</v>
      </c>
      <c r="F6324" t="str">
        <f>HYPERLINK("http://www.sec.gov/Archives/edgar/data/1581990/0001104659-16-100037-index.html")</f>
        <v>http://www.sec.gov/Archives/edgar/data/1581990/0001104659-16-100037-index.html</v>
      </c>
    </row>
    <row r="6325" spans="1:6" x14ac:dyDescent="0.2">
      <c r="A6325" t="s">
        <v>5784</v>
      </c>
      <c r="B6325" s="1">
        <v>1585364</v>
      </c>
      <c r="C6325" s="1">
        <v>2834</v>
      </c>
      <c r="D6325" s="2">
        <v>42425</v>
      </c>
      <c r="E6325" s="1" t="s">
        <v>21</v>
      </c>
      <c r="F6325" t="str">
        <f>HYPERLINK("http://www.sec.gov/Archives/edgar/data/1585364/0001585364-16-000245-index.html")</f>
        <v>http://www.sec.gov/Archives/edgar/data/1585364/0001585364-16-000245-index.html</v>
      </c>
    </row>
    <row r="6326" spans="1:6" x14ac:dyDescent="0.2">
      <c r="A6326" t="s">
        <v>5785</v>
      </c>
      <c r="B6326" s="1">
        <v>1585644</v>
      </c>
      <c r="C6326" s="1">
        <v>4813</v>
      </c>
      <c r="D6326" s="2">
        <v>42425</v>
      </c>
      <c r="E6326" s="1" t="s">
        <v>18</v>
      </c>
      <c r="F6326" t="str">
        <f>HYPERLINK("http://www.sec.gov/Archives/edgar/data/1585644/0001282266-16-000059-index.html")</f>
        <v>http://www.sec.gov/Archives/edgar/data/1585644/0001282266-16-000059-index.html</v>
      </c>
    </row>
    <row r="6327" spans="1:6" x14ac:dyDescent="0.2">
      <c r="A6327" t="s">
        <v>5786</v>
      </c>
      <c r="B6327" s="1">
        <v>1588216</v>
      </c>
      <c r="C6327" s="1">
        <v>1311</v>
      </c>
      <c r="D6327" s="2">
        <v>42425</v>
      </c>
      <c r="E6327" s="1" t="s">
        <v>18</v>
      </c>
      <c r="F6327" t="str">
        <f>HYPERLINK("http://www.sec.gov/Archives/edgar/data/1588216/0001588216-16-000021-index.html")</f>
        <v>http://www.sec.gov/Archives/edgar/data/1588216/0001588216-16-000021-index.html</v>
      </c>
    </row>
    <row r="6328" spans="1:6" x14ac:dyDescent="0.2">
      <c r="A6328" t="s">
        <v>5787</v>
      </c>
      <c r="B6328" s="1">
        <v>1588238</v>
      </c>
      <c r="C6328" s="1">
        <v>1311</v>
      </c>
      <c r="D6328" s="2">
        <v>42425</v>
      </c>
      <c r="E6328" s="1" t="s">
        <v>18</v>
      </c>
      <c r="F6328" t="str">
        <f>HYPERLINK("http://www.sec.gov/Archives/edgar/data/1588238/0001588238-16-000025-index.html")</f>
        <v>http://www.sec.gov/Archives/edgar/data/1588238/0001588238-16-000025-index.html</v>
      </c>
    </row>
    <row r="6329" spans="1:6" x14ac:dyDescent="0.2">
      <c r="A6329" t="s">
        <v>5788</v>
      </c>
      <c r="B6329" s="1">
        <v>1593538</v>
      </c>
      <c r="C6329" s="1">
        <v>6211</v>
      </c>
      <c r="D6329" s="2">
        <v>42425</v>
      </c>
      <c r="E6329" s="1" t="s">
        <v>18</v>
      </c>
      <c r="F6329" t="str">
        <f>HYPERLINK("http://www.sec.gov/Archives/edgar/data/1593538/0001193125-16-478393-index.html")</f>
        <v>http://www.sec.gov/Archives/edgar/data/1593538/0001193125-16-478393-index.html</v>
      </c>
    </row>
    <row r="6330" spans="1:6" x14ac:dyDescent="0.2">
      <c r="A6330" t="s">
        <v>5789</v>
      </c>
      <c r="B6330" s="1">
        <v>1593773</v>
      </c>
      <c r="C6330" s="1">
        <v>7371</v>
      </c>
      <c r="D6330" s="2">
        <v>42425</v>
      </c>
      <c r="E6330" s="1" t="s">
        <v>18</v>
      </c>
      <c r="F6330" t="str">
        <f>HYPERLINK("http://www.sec.gov/Archives/edgar/data/1593773/0001477932-16-008804-index.html")</f>
        <v>http://www.sec.gov/Archives/edgar/data/1593773/0001477932-16-008804-index.html</v>
      </c>
    </row>
    <row r="6331" spans="1:6" x14ac:dyDescent="0.2">
      <c r="A6331" t="s">
        <v>5790</v>
      </c>
      <c r="B6331" s="1">
        <v>1594617</v>
      </c>
      <c r="C6331" s="1">
        <v>7011</v>
      </c>
      <c r="D6331" s="2">
        <v>42425</v>
      </c>
      <c r="E6331" s="1" t="s">
        <v>18</v>
      </c>
      <c r="F6331" t="str">
        <f>HYPERLINK("http://www.sec.gov/Archives/edgar/data/1594617/0001564590-16-013261-index.html")</f>
        <v>http://www.sec.gov/Archives/edgar/data/1594617/0001564590-16-013261-index.html</v>
      </c>
    </row>
    <row r="6332" spans="1:6" x14ac:dyDescent="0.2">
      <c r="A6332" t="s">
        <v>5791</v>
      </c>
      <c r="B6332" s="1">
        <v>1594879</v>
      </c>
      <c r="C6332" s="1">
        <v>5812</v>
      </c>
      <c r="D6332" s="2">
        <v>42425</v>
      </c>
      <c r="E6332" s="1" t="s">
        <v>18</v>
      </c>
      <c r="F6332" t="str">
        <f>HYPERLINK("http://www.sec.gov/Archives/edgar/data/1594879/0001594879-16-000125-index.html")</f>
        <v>http://www.sec.gov/Archives/edgar/data/1594879/0001594879-16-000125-index.html</v>
      </c>
    </row>
    <row r="6333" spans="1:6" x14ac:dyDescent="0.2">
      <c r="A6333" t="s">
        <v>5792</v>
      </c>
      <c r="B6333" s="1">
        <v>1596532</v>
      </c>
      <c r="C6333" s="1">
        <v>3576</v>
      </c>
      <c r="D6333" s="2">
        <v>42425</v>
      </c>
      <c r="E6333" s="1" t="s">
        <v>18</v>
      </c>
      <c r="F6333" t="str">
        <f>HYPERLINK("http://www.sec.gov/Archives/edgar/data/1596532/0001596532-16-000244-index.html")</f>
        <v>http://www.sec.gov/Archives/edgar/data/1596532/0001596532-16-000244-index.html</v>
      </c>
    </row>
    <row r="6334" spans="1:6" x14ac:dyDescent="0.2">
      <c r="A6334" t="s">
        <v>5793</v>
      </c>
      <c r="B6334" s="1">
        <v>1601712</v>
      </c>
      <c r="C6334" s="1">
        <v>6199</v>
      </c>
      <c r="D6334" s="2">
        <v>42425</v>
      </c>
      <c r="E6334" s="1" t="s">
        <v>18</v>
      </c>
      <c r="F6334" t="str">
        <f>HYPERLINK("http://www.sec.gov/Archives/edgar/data/1601712/0001601712-16-000069-index.html")</f>
        <v>http://www.sec.gov/Archives/edgar/data/1601712/0001601712-16-000069-index.html</v>
      </c>
    </row>
    <row r="6335" spans="1:6" x14ac:dyDescent="0.2">
      <c r="A6335" t="s">
        <v>5794</v>
      </c>
      <c r="B6335" s="1">
        <v>1605607</v>
      </c>
      <c r="C6335" s="1">
        <v>6798</v>
      </c>
      <c r="D6335" s="2">
        <v>42425</v>
      </c>
      <c r="E6335" s="1" t="s">
        <v>18</v>
      </c>
      <c r="F6335" t="str">
        <f>HYPERLINK("http://www.sec.gov/Archives/edgar/data/1605607/0001564590-16-013406-index.html")</f>
        <v>http://www.sec.gov/Archives/edgar/data/1605607/0001564590-16-013406-index.html</v>
      </c>
    </row>
    <row r="6336" spans="1:6" x14ac:dyDescent="0.2">
      <c r="A6336" t="s">
        <v>5795</v>
      </c>
      <c r="B6336" s="1">
        <v>1607250</v>
      </c>
      <c r="C6336" s="1">
        <v>1381</v>
      </c>
      <c r="D6336" s="2">
        <v>42425</v>
      </c>
      <c r="E6336" s="1" t="s">
        <v>18</v>
      </c>
      <c r="F6336" t="str">
        <f>HYPERLINK("http://www.sec.gov/Archives/edgar/data/1607250/0001558370-16-003477-index.html")</f>
        <v>http://www.sec.gov/Archives/edgar/data/1607250/0001558370-16-003477-index.html</v>
      </c>
    </row>
    <row r="6337" spans="1:6" x14ac:dyDescent="0.2">
      <c r="A6337" t="s">
        <v>5796</v>
      </c>
      <c r="B6337" s="1">
        <v>1610950</v>
      </c>
      <c r="C6337" s="1">
        <v>8731</v>
      </c>
      <c r="D6337" s="2">
        <v>42425</v>
      </c>
      <c r="E6337" s="1" t="s">
        <v>18</v>
      </c>
      <c r="F6337" t="str">
        <f>HYPERLINK("http://www.sec.gov/Archives/edgar/data/1610950/0001610950-16-000036-index.html")</f>
        <v>http://www.sec.gov/Archives/edgar/data/1610950/0001610950-16-000036-index.html</v>
      </c>
    </row>
    <row r="6338" spans="1:6" x14ac:dyDescent="0.2">
      <c r="A6338" t="s">
        <v>5797</v>
      </c>
      <c r="B6338" s="1">
        <v>1613859</v>
      </c>
      <c r="C6338" s="1">
        <v>8731</v>
      </c>
      <c r="D6338" s="2">
        <v>42425</v>
      </c>
      <c r="E6338" s="1" t="s">
        <v>18</v>
      </c>
      <c r="F6338" t="str">
        <f>HYPERLINK("http://www.sec.gov/Archives/edgar/data/1613859/0001047469-16-010410-index.html")</f>
        <v>http://www.sec.gov/Archives/edgar/data/1613859/0001047469-16-010410-index.html</v>
      </c>
    </row>
    <row r="6339" spans="1:6" x14ac:dyDescent="0.2">
      <c r="A6339" t="s">
        <v>5798</v>
      </c>
      <c r="B6339" s="1">
        <v>1620928</v>
      </c>
      <c r="C6339" s="1">
        <v>4922</v>
      </c>
      <c r="D6339" s="2">
        <v>42425</v>
      </c>
      <c r="E6339" s="1" t="s">
        <v>18</v>
      </c>
      <c r="F6339" t="str">
        <f>HYPERLINK("http://www.sec.gov/Archives/edgar/data/1620928/0001620928-16-000031-index.html")</f>
        <v>http://www.sec.gov/Archives/edgar/data/1620928/0001620928-16-000031-index.html</v>
      </c>
    </row>
    <row r="6340" spans="1:6" x14ac:dyDescent="0.2">
      <c r="A6340" t="s">
        <v>5799</v>
      </c>
      <c r="B6340" s="1">
        <v>1627223</v>
      </c>
      <c r="C6340" s="1">
        <v>2800</v>
      </c>
      <c r="D6340" s="2">
        <v>42425</v>
      </c>
      <c r="E6340" s="1" t="s">
        <v>18</v>
      </c>
      <c r="F6340" t="str">
        <f>HYPERLINK("http://www.sec.gov/Archives/edgar/data/1627223/0001627223-16-000066-index.html")</f>
        <v>http://www.sec.gov/Archives/edgar/data/1627223/0001627223-16-000066-index.html</v>
      </c>
    </row>
    <row r="6341" spans="1:6" x14ac:dyDescent="0.2">
      <c r="A6341" t="s">
        <v>5800</v>
      </c>
      <c r="B6341" s="1">
        <v>1630805</v>
      </c>
      <c r="C6341" s="1">
        <v>3433</v>
      </c>
      <c r="D6341" s="2">
        <v>42425</v>
      </c>
      <c r="E6341" s="1" t="s">
        <v>18</v>
      </c>
      <c r="F6341" t="str">
        <f>HYPERLINK("http://www.sec.gov/Archives/edgar/data/1630805/0001630805-16-000016-index.html")</f>
        <v>http://www.sec.gov/Archives/edgar/data/1630805/0001630805-16-000016-index.html</v>
      </c>
    </row>
    <row r="6342" spans="1:6" x14ac:dyDescent="0.2">
      <c r="A6342" t="s">
        <v>5801</v>
      </c>
      <c r="B6342" s="1">
        <v>1635718</v>
      </c>
      <c r="C6342" s="1">
        <v>2711</v>
      </c>
      <c r="D6342" s="2">
        <v>42425</v>
      </c>
      <c r="E6342" s="1" t="s">
        <v>18</v>
      </c>
      <c r="F6342" t="str">
        <f>HYPERLINK("http://www.sec.gov/Archives/edgar/data/1635718/0001635718-16-000024-index.html")</f>
        <v>http://www.sec.gov/Archives/edgar/data/1635718/0001635718-16-000024-index.html</v>
      </c>
    </row>
    <row r="6343" spans="1:6" x14ac:dyDescent="0.2">
      <c r="A6343" t="s">
        <v>5802</v>
      </c>
      <c r="B6343" s="1">
        <v>17797</v>
      </c>
      <c r="C6343" s="1">
        <v>4911</v>
      </c>
      <c r="D6343" s="2">
        <v>42425</v>
      </c>
      <c r="E6343" s="1" t="s">
        <v>18</v>
      </c>
      <c r="F6343" t="str">
        <f>HYPERLINK("http://www.sec.gov/Archives/edgar/data/17797/0001326160-16-000221-index.html")</f>
        <v>http://www.sec.gov/Archives/edgar/data/17797/0001326160-16-000221-index.html</v>
      </c>
    </row>
    <row r="6344" spans="1:6" x14ac:dyDescent="0.2">
      <c r="A6344" t="s">
        <v>5803</v>
      </c>
      <c r="B6344" s="1">
        <v>18926</v>
      </c>
      <c r="C6344" s="1">
        <v>4813</v>
      </c>
      <c r="D6344" s="2">
        <v>42425</v>
      </c>
      <c r="E6344" s="1" t="s">
        <v>18</v>
      </c>
      <c r="F6344" t="str">
        <f>HYPERLINK("http://www.sec.gov/Archives/edgar/data/18926/0000018926-16-000047-index.html")</f>
        <v>http://www.sec.gov/Archives/edgar/data/18926/0000018926-16-000047-index.html</v>
      </c>
    </row>
    <row r="6345" spans="1:6" x14ac:dyDescent="0.2">
      <c r="A6345" t="s">
        <v>5804</v>
      </c>
      <c r="B6345" s="1">
        <v>20290</v>
      </c>
      <c r="C6345" s="1">
        <v>4931</v>
      </c>
      <c r="D6345" s="2">
        <v>42425</v>
      </c>
      <c r="E6345" s="1" t="s">
        <v>18</v>
      </c>
      <c r="F6345" t="str">
        <f>HYPERLINK("http://www.sec.gov/Archives/edgar/data/20290/0001326160-16-000221-index.html")</f>
        <v>http://www.sec.gov/Archives/edgar/data/20290/0001326160-16-000221-index.html</v>
      </c>
    </row>
    <row r="6346" spans="1:6" x14ac:dyDescent="0.2">
      <c r="A6346" t="s">
        <v>5805</v>
      </c>
      <c r="B6346" s="1">
        <v>20520</v>
      </c>
      <c r="C6346" s="1">
        <v>4813</v>
      </c>
      <c r="D6346" s="2">
        <v>42425</v>
      </c>
      <c r="E6346" s="1" t="s">
        <v>18</v>
      </c>
      <c r="F6346" t="str">
        <f>HYPERLINK("http://www.sec.gov/Archives/edgar/data/20520/0000020520-16-000076-index.html")</f>
        <v>http://www.sec.gov/Archives/edgar/data/20520/0000020520-16-000076-index.html</v>
      </c>
    </row>
    <row r="6347" spans="1:6" x14ac:dyDescent="0.2">
      <c r="A6347" t="s">
        <v>5806</v>
      </c>
      <c r="B6347" s="1">
        <v>21344</v>
      </c>
      <c r="C6347" s="1">
        <v>2080</v>
      </c>
      <c r="D6347" s="2">
        <v>42425</v>
      </c>
      <c r="E6347" s="1" t="s">
        <v>18</v>
      </c>
      <c r="F6347" t="str">
        <f>HYPERLINK("http://www.sec.gov/Archives/edgar/data/21344/0000021344-16-000050-index.html")</f>
        <v>http://www.sec.gov/Archives/edgar/data/21344/0000021344-16-000050-index.html</v>
      </c>
    </row>
    <row r="6348" spans="1:6" x14ac:dyDescent="0.2">
      <c r="A6348" t="s">
        <v>5807</v>
      </c>
      <c r="B6348" s="1">
        <v>26324</v>
      </c>
      <c r="C6348" s="1">
        <v>3590</v>
      </c>
      <c r="D6348" s="2">
        <v>42425</v>
      </c>
      <c r="E6348" s="1" t="s">
        <v>18</v>
      </c>
      <c r="F6348" t="str">
        <f>HYPERLINK("http://www.sec.gov/Archives/edgar/data/26324/0000026324-16-000040-index.html")</f>
        <v>http://www.sec.gov/Archives/edgar/data/26324/0000026324-16-000040-index.html</v>
      </c>
    </row>
    <row r="6349" spans="1:6" x14ac:dyDescent="0.2">
      <c r="A6349" t="s">
        <v>5808</v>
      </c>
      <c r="B6349" s="1">
        <v>29669</v>
      </c>
      <c r="C6349" s="1">
        <v>2750</v>
      </c>
      <c r="D6349" s="2">
        <v>42425</v>
      </c>
      <c r="E6349" s="1" t="s">
        <v>18</v>
      </c>
      <c r="F6349" t="str">
        <f>HYPERLINK("http://www.sec.gov/Archives/edgar/data/29669/0001564590-16-013400-index.html")</f>
        <v>http://www.sec.gov/Archives/edgar/data/29669/0001564590-16-013400-index.html</v>
      </c>
    </row>
    <row r="6350" spans="1:6" x14ac:dyDescent="0.2">
      <c r="A6350" t="s">
        <v>5809</v>
      </c>
      <c r="B6350" s="1">
        <v>30371</v>
      </c>
      <c r="C6350" s="1">
        <v>4911</v>
      </c>
      <c r="D6350" s="2">
        <v>42425</v>
      </c>
      <c r="E6350" s="1" t="s">
        <v>18</v>
      </c>
      <c r="F6350" t="str">
        <f>HYPERLINK("http://www.sec.gov/Archives/edgar/data/30371/0001326160-16-000221-index.html")</f>
        <v>http://www.sec.gov/Archives/edgar/data/30371/0001326160-16-000221-index.html</v>
      </c>
    </row>
    <row r="6351" spans="1:6" x14ac:dyDescent="0.2">
      <c r="A6351" t="s">
        <v>5810</v>
      </c>
      <c r="B6351" s="1">
        <v>310142</v>
      </c>
      <c r="C6351" s="1">
        <v>2860</v>
      </c>
      <c r="D6351" s="2">
        <v>42425</v>
      </c>
      <c r="E6351" s="1" t="s">
        <v>18</v>
      </c>
      <c r="F6351" t="str">
        <f>HYPERLINK("http://www.sec.gov/Archives/edgar/data/310142/0001140361-16-054898-index.html")</f>
        <v>http://www.sec.gov/Archives/edgar/data/310142/0001140361-16-054898-index.html</v>
      </c>
    </row>
    <row r="6352" spans="1:6" x14ac:dyDescent="0.2">
      <c r="A6352" t="s">
        <v>5811</v>
      </c>
      <c r="B6352" s="1">
        <v>314808</v>
      </c>
      <c r="C6352" s="1">
        <v>1381</v>
      </c>
      <c r="D6352" s="2">
        <v>42425</v>
      </c>
      <c r="E6352" s="1" t="s">
        <v>18</v>
      </c>
      <c r="F6352" t="str">
        <f>HYPERLINK("http://www.sec.gov/Archives/edgar/data/314808/0000314808-16-000258-index.html")</f>
        <v>http://www.sec.gov/Archives/edgar/data/314808/0000314808-16-000258-index.html</v>
      </c>
    </row>
    <row r="6353" spans="1:6" x14ac:dyDescent="0.2">
      <c r="A6353" t="s">
        <v>5812</v>
      </c>
      <c r="B6353" s="1">
        <v>315852</v>
      </c>
      <c r="C6353" s="1">
        <v>1311</v>
      </c>
      <c r="D6353" s="2">
        <v>42425</v>
      </c>
      <c r="E6353" s="1" t="s">
        <v>18</v>
      </c>
      <c r="F6353" t="str">
        <f>HYPERLINK("http://www.sec.gov/Archives/edgar/data/315852/0001564590-16-013402-index.html")</f>
        <v>http://www.sec.gov/Archives/edgar/data/315852/0001564590-16-013402-index.html</v>
      </c>
    </row>
    <row r="6354" spans="1:6" x14ac:dyDescent="0.2">
      <c r="A6354" t="s">
        <v>5813</v>
      </c>
      <c r="B6354" s="1">
        <v>316206</v>
      </c>
      <c r="C6354" s="1">
        <v>7011</v>
      </c>
      <c r="D6354" s="2">
        <v>42425</v>
      </c>
      <c r="E6354" s="1" t="s">
        <v>18</v>
      </c>
      <c r="F6354" t="str">
        <f>HYPERLINK("http://www.sec.gov/Archives/edgar/data/316206/0001564590-16-013371-index.html")</f>
        <v>http://www.sec.gov/Archives/edgar/data/316206/0001564590-16-013371-index.html</v>
      </c>
    </row>
    <row r="6355" spans="1:6" x14ac:dyDescent="0.2">
      <c r="A6355" t="s">
        <v>5814</v>
      </c>
      <c r="B6355" s="1">
        <v>352915</v>
      </c>
      <c r="C6355" s="1">
        <v>8062</v>
      </c>
      <c r="D6355" s="2">
        <v>42425</v>
      </c>
      <c r="E6355" s="1" t="s">
        <v>18</v>
      </c>
      <c r="F6355" t="str">
        <f>HYPERLINK("http://www.sec.gov/Archives/edgar/data/352915/0001564590-16-013375-index.html")</f>
        <v>http://www.sec.gov/Archives/edgar/data/352915/0001564590-16-013375-index.html</v>
      </c>
    </row>
    <row r="6356" spans="1:6" x14ac:dyDescent="0.2">
      <c r="A6356" t="s">
        <v>5815</v>
      </c>
      <c r="B6356" s="1">
        <v>35527</v>
      </c>
      <c r="C6356" s="1">
        <v>6022</v>
      </c>
      <c r="D6356" s="2">
        <v>42425</v>
      </c>
      <c r="E6356" s="1" t="s">
        <v>18</v>
      </c>
      <c r="F6356" t="str">
        <f>HYPERLINK("http://www.sec.gov/Archives/edgar/data/35527/0001193125-16-478543-index.html")</f>
        <v>http://www.sec.gov/Archives/edgar/data/35527/0001193125-16-478543-index.html</v>
      </c>
    </row>
    <row r="6357" spans="1:6" x14ac:dyDescent="0.2">
      <c r="A6357" t="s">
        <v>5816</v>
      </c>
      <c r="B6357" s="1">
        <v>355429</v>
      </c>
      <c r="C6357" s="1">
        <v>6311</v>
      </c>
      <c r="D6357" s="2">
        <v>42425</v>
      </c>
      <c r="E6357" s="1" t="s">
        <v>18</v>
      </c>
      <c r="F6357" t="str">
        <f>HYPERLINK("http://www.sec.gov/Archives/edgar/data/355429/0001104659-16-099903-index.html")</f>
        <v>http://www.sec.gov/Archives/edgar/data/355429/0001104659-16-099903-index.html</v>
      </c>
    </row>
    <row r="6358" spans="1:6" x14ac:dyDescent="0.2">
      <c r="A6358" t="s">
        <v>5817</v>
      </c>
      <c r="B6358" s="1">
        <v>36104</v>
      </c>
      <c r="C6358" s="1">
        <v>6021</v>
      </c>
      <c r="D6358" s="2">
        <v>42425</v>
      </c>
      <c r="E6358" s="1" t="s">
        <v>18</v>
      </c>
      <c r="F6358" t="str">
        <f>HYPERLINK("http://www.sec.gov/Archives/edgar/data/36104/0001193125-16-478568-index.html")</f>
        <v>http://www.sec.gov/Archives/edgar/data/36104/0001193125-16-478568-index.html</v>
      </c>
    </row>
    <row r="6359" spans="1:6" x14ac:dyDescent="0.2">
      <c r="A6359" t="s">
        <v>5818</v>
      </c>
      <c r="B6359" s="1">
        <v>36966</v>
      </c>
      <c r="C6359" s="1">
        <v>6021</v>
      </c>
      <c r="D6359" s="2">
        <v>42425</v>
      </c>
      <c r="E6359" s="1" t="s">
        <v>18</v>
      </c>
      <c r="F6359" t="str">
        <f>HYPERLINK("http://www.sec.gov/Archives/edgar/data/36966/0000930413-16-005653-index.html")</f>
        <v>http://www.sec.gov/Archives/edgar/data/36966/0000930413-16-005653-index.html</v>
      </c>
    </row>
    <row r="6360" spans="1:6" x14ac:dyDescent="0.2">
      <c r="A6360" t="s">
        <v>5819</v>
      </c>
      <c r="B6360" s="1">
        <v>37637</v>
      </c>
      <c r="C6360" s="1">
        <v>4911</v>
      </c>
      <c r="D6360" s="2">
        <v>42425</v>
      </c>
      <c r="E6360" s="1" t="s">
        <v>18</v>
      </c>
      <c r="F6360" t="str">
        <f>HYPERLINK("http://www.sec.gov/Archives/edgar/data/37637/0001326160-16-000221-index.html")</f>
        <v>http://www.sec.gov/Archives/edgar/data/37637/0001326160-16-000221-index.html</v>
      </c>
    </row>
    <row r="6361" spans="1:6" x14ac:dyDescent="0.2">
      <c r="A6361" t="s">
        <v>5820</v>
      </c>
      <c r="B6361" s="1">
        <v>4977</v>
      </c>
      <c r="C6361" s="1">
        <v>6321</v>
      </c>
      <c r="D6361" s="2">
        <v>42425</v>
      </c>
      <c r="E6361" s="1" t="s">
        <v>18</v>
      </c>
      <c r="F6361" t="str">
        <f>HYPERLINK("http://www.sec.gov/Archives/edgar/data/4977/0000004977-16-000259-index.html")</f>
        <v>http://www.sec.gov/Archives/edgar/data/4977/0000004977-16-000259-index.html</v>
      </c>
    </row>
    <row r="6362" spans="1:6" x14ac:dyDescent="0.2">
      <c r="A6362" t="s">
        <v>5821</v>
      </c>
      <c r="B6362" s="1">
        <v>50104</v>
      </c>
      <c r="C6362" s="1">
        <v>2911</v>
      </c>
      <c r="D6362" s="2">
        <v>42425</v>
      </c>
      <c r="E6362" s="1" t="s">
        <v>18</v>
      </c>
      <c r="F6362" t="str">
        <f>HYPERLINK("http://www.sec.gov/Archives/edgar/data/50104/0000050104-16-000055-index.html")</f>
        <v>http://www.sec.gov/Archives/edgar/data/50104/0000050104-16-000055-index.html</v>
      </c>
    </row>
    <row r="6363" spans="1:6" x14ac:dyDescent="0.2">
      <c r="A6363" t="s">
        <v>5822</v>
      </c>
      <c r="B6363" s="1">
        <v>51434</v>
      </c>
      <c r="C6363" s="1">
        <v>2621</v>
      </c>
      <c r="D6363" s="2">
        <v>42425</v>
      </c>
      <c r="E6363" s="1" t="s">
        <v>18</v>
      </c>
      <c r="F6363" t="str">
        <f>HYPERLINK("http://www.sec.gov/Archives/edgar/data/51434/0000051434-16-000042-index.html")</f>
        <v>http://www.sec.gov/Archives/edgar/data/51434/0000051434-16-000042-index.html</v>
      </c>
    </row>
    <row r="6364" spans="1:6" x14ac:dyDescent="0.2">
      <c r="A6364" t="s">
        <v>5823</v>
      </c>
      <c r="B6364" s="1">
        <v>52428</v>
      </c>
      <c r="C6364" s="1">
        <v>2621</v>
      </c>
      <c r="D6364" s="2">
        <v>42425</v>
      </c>
      <c r="E6364" s="1" t="s">
        <v>18</v>
      </c>
      <c r="F6364" t="str">
        <f>HYPERLINK("http://www.sec.gov/Archives/edgar/data/52428/0000820027-16-000171-index.html")</f>
        <v>http://www.sec.gov/Archives/edgar/data/52428/0000820027-16-000171-index.html</v>
      </c>
    </row>
    <row r="6365" spans="1:6" x14ac:dyDescent="0.2">
      <c r="A6365" t="s">
        <v>5824</v>
      </c>
      <c r="B6365" s="1">
        <v>58492</v>
      </c>
      <c r="C6365" s="1">
        <v>2510</v>
      </c>
      <c r="D6365" s="2">
        <v>42425</v>
      </c>
      <c r="E6365" s="1" t="s">
        <v>18</v>
      </c>
      <c r="F6365" t="str">
        <f>HYPERLINK("http://www.sec.gov/Archives/edgar/data/58492/0000058492-16-000019-index.html")</f>
        <v>http://www.sec.gov/Archives/edgar/data/58492/0000058492-16-000019-index.html</v>
      </c>
    </row>
    <row r="6366" spans="1:6" x14ac:dyDescent="0.2">
      <c r="A6366" t="s">
        <v>5825</v>
      </c>
      <c r="B6366" s="1">
        <v>59527</v>
      </c>
      <c r="C6366" s="1">
        <v>3540</v>
      </c>
      <c r="D6366" s="2">
        <v>42425</v>
      </c>
      <c r="E6366" s="1" t="s">
        <v>18</v>
      </c>
      <c r="F6366" t="str">
        <f>HYPERLINK("http://www.sec.gov/Archives/edgar/data/59527/0000059527-16-000036-index.html")</f>
        <v>http://www.sec.gov/Archives/edgar/data/59527/0000059527-16-000036-index.html</v>
      </c>
    </row>
    <row r="6367" spans="1:6" x14ac:dyDescent="0.2">
      <c r="A6367" t="s">
        <v>5826</v>
      </c>
      <c r="B6367" s="1">
        <v>59558</v>
      </c>
      <c r="C6367" s="1">
        <v>6311</v>
      </c>
      <c r="D6367" s="2">
        <v>42425</v>
      </c>
      <c r="E6367" s="1" t="s">
        <v>18</v>
      </c>
      <c r="F6367" t="str">
        <f>HYPERLINK("http://www.sec.gov/Archives/edgar/data/59558/0000059558-16-000077-index.html")</f>
        <v>http://www.sec.gov/Archives/edgar/data/59558/0000059558-16-000077-index.html</v>
      </c>
    </row>
    <row r="6368" spans="1:6" x14ac:dyDescent="0.2">
      <c r="A6368" t="s">
        <v>5827</v>
      </c>
      <c r="B6368" s="1">
        <v>61339</v>
      </c>
      <c r="C6368" s="1">
        <v>4931</v>
      </c>
      <c r="D6368" s="2">
        <v>42425</v>
      </c>
      <c r="E6368" s="1" t="s">
        <v>18</v>
      </c>
      <c r="F6368" t="str">
        <f>HYPERLINK("http://www.sec.gov/Archives/edgar/data/61339/0001161728-16-000028-index.html")</f>
        <v>http://www.sec.gov/Archives/edgar/data/61339/0001161728-16-000028-index.html</v>
      </c>
    </row>
    <row r="6369" spans="1:6" x14ac:dyDescent="0.2">
      <c r="A6369" t="s">
        <v>5828</v>
      </c>
      <c r="B6369" s="1">
        <v>63276</v>
      </c>
      <c r="C6369" s="1">
        <v>3942</v>
      </c>
      <c r="D6369" s="2">
        <v>42425</v>
      </c>
      <c r="E6369" s="1" t="s">
        <v>18</v>
      </c>
      <c r="F6369" t="str">
        <f>HYPERLINK("http://www.sec.gov/Archives/edgar/data/63276/0001628280-16-011701-index.html")</f>
        <v>http://www.sec.gov/Archives/edgar/data/63276/0001628280-16-011701-index.html</v>
      </c>
    </row>
    <row r="6370" spans="1:6" x14ac:dyDescent="0.2">
      <c r="A6370" t="s">
        <v>5829</v>
      </c>
      <c r="B6370" s="1">
        <v>63908</v>
      </c>
      <c r="C6370" s="1">
        <v>5812</v>
      </c>
      <c r="D6370" s="2">
        <v>42425</v>
      </c>
      <c r="E6370" s="1" t="s">
        <v>18</v>
      </c>
      <c r="F6370" t="str">
        <f>HYPERLINK("http://www.sec.gov/Archives/edgar/data/63908/0000063908-16-000103-index.html")</f>
        <v>http://www.sec.gov/Archives/edgar/data/63908/0000063908-16-000103-index.html</v>
      </c>
    </row>
    <row r="6371" spans="1:6" x14ac:dyDescent="0.2">
      <c r="A6371" t="s">
        <v>5830</v>
      </c>
      <c r="B6371" s="1">
        <v>701221</v>
      </c>
      <c r="C6371" s="1">
        <v>6324</v>
      </c>
      <c r="D6371" s="2">
        <v>42425</v>
      </c>
      <c r="E6371" s="1" t="s">
        <v>18</v>
      </c>
      <c r="F6371" t="str">
        <f>HYPERLINK("http://www.sec.gov/Archives/edgar/data/701221/0001047469-16-010432-index.html")</f>
        <v>http://www.sec.gov/Archives/edgar/data/701221/0001047469-16-010432-index.html</v>
      </c>
    </row>
    <row r="6372" spans="1:6" x14ac:dyDescent="0.2">
      <c r="A6372" t="s">
        <v>5831</v>
      </c>
      <c r="B6372" s="1">
        <v>701347</v>
      </c>
      <c r="C6372" s="1">
        <v>6022</v>
      </c>
      <c r="D6372" s="2">
        <v>42425</v>
      </c>
      <c r="E6372" s="1" t="s">
        <v>18</v>
      </c>
      <c r="F6372" t="str">
        <f>HYPERLINK("http://www.sec.gov/Archives/edgar/data/701347/0000701347-16-000034-index.html")</f>
        <v>http://www.sec.gov/Archives/edgar/data/701347/0000701347-16-000034-index.html</v>
      </c>
    </row>
    <row r="6373" spans="1:6" x14ac:dyDescent="0.2">
      <c r="A6373" t="s">
        <v>5832</v>
      </c>
      <c r="B6373" s="1">
        <v>70415</v>
      </c>
      <c r="C6373" s="1">
        <v>8200</v>
      </c>
      <c r="D6373" s="2">
        <v>42425</v>
      </c>
      <c r="E6373" s="1" t="s">
        <v>18</v>
      </c>
      <c r="F6373" t="str">
        <f>HYPERLINK("http://www.sec.gov/Archives/edgar/data/70415/0000070415-16-000125-index.html")</f>
        <v>http://www.sec.gov/Archives/edgar/data/70415/0000070415-16-000125-index.html</v>
      </c>
    </row>
    <row r="6374" spans="1:6" x14ac:dyDescent="0.2">
      <c r="A6374" t="s">
        <v>5833</v>
      </c>
      <c r="B6374" s="1">
        <v>716133</v>
      </c>
      <c r="C6374" s="1">
        <v>4813</v>
      </c>
      <c r="D6374" s="2">
        <v>42425</v>
      </c>
      <c r="E6374" s="1" t="s">
        <v>18</v>
      </c>
      <c r="F6374" t="str">
        <f>HYPERLINK("http://www.sec.gov/Archives/edgar/data/716133/0000716133-16-000063-index.html")</f>
        <v>http://www.sec.gov/Archives/edgar/data/716133/0000716133-16-000063-index.html</v>
      </c>
    </row>
    <row r="6375" spans="1:6" x14ac:dyDescent="0.2">
      <c r="A6375" t="s">
        <v>5834</v>
      </c>
      <c r="B6375" s="1">
        <v>721683</v>
      </c>
      <c r="C6375" s="1">
        <v>7389</v>
      </c>
      <c r="D6375" s="2">
        <v>42425</v>
      </c>
      <c r="E6375" s="1" t="s">
        <v>18</v>
      </c>
      <c r="F6375" t="str">
        <f>HYPERLINK("http://www.sec.gov/Archives/edgar/data/721683/0001193125-16-476239-index.html")</f>
        <v>http://www.sec.gov/Archives/edgar/data/721683/0001193125-16-476239-index.html</v>
      </c>
    </row>
    <row r="6376" spans="1:6" x14ac:dyDescent="0.2">
      <c r="A6376" t="s">
        <v>5835</v>
      </c>
      <c r="B6376" s="1">
        <v>727892</v>
      </c>
      <c r="C6376" s="1">
        <v>6311</v>
      </c>
      <c r="D6376" s="2">
        <v>42425</v>
      </c>
      <c r="E6376" s="1" t="s">
        <v>18</v>
      </c>
      <c r="F6376" t="str">
        <f>HYPERLINK("http://www.sec.gov/Archives/edgar/data/727892/0000820027-16-000170-index.html")</f>
        <v>http://www.sec.gov/Archives/edgar/data/727892/0000820027-16-000170-index.html</v>
      </c>
    </row>
    <row r="6377" spans="1:6" x14ac:dyDescent="0.2">
      <c r="A6377" t="s">
        <v>5836</v>
      </c>
      <c r="B6377" s="1">
        <v>729237</v>
      </c>
      <c r="C6377" s="1">
        <v>6798</v>
      </c>
      <c r="D6377" s="2">
        <v>42425</v>
      </c>
      <c r="E6377" s="1" t="s">
        <v>18</v>
      </c>
      <c r="F6377" t="str">
        <f>HYPERLINK("http://www.sec.gov/Archives/edgar/data/729237/0000729237-16-000111-index.html")</f>
        <v>http://www.sec.gov/Archives/edgar/data/729237/0000729237-16-000111-index.html</v>
      </c>
    </row>
    <row r="6378" spans="1:6" x14ac:dyDescent="0.2">
      <c r="A6378" t="s">
        <v>5837</v>
      </c>
      <c r="B6378" s="1">
        <v>730272</v>
      </c>
      <c r="C6378" s="1">
        <v>2836</v>
      </c>
      <c r="D6378" s="2">
        <v>42425</v>
      </c>
      <c r="E6378" s="1" t="s">
        <v>18</v>
      </c>
      <c r="F6378" t="str">
        <f>HYPERLINK("http://www.sec.gov/Archives/edgar/data/730272/0001193125-16-478518-index.html")</f>
        <v>http://www.sec.gov/Archives/edgar/data/730272/0001193125-16-478518-index.html</v>
      </c>
    </row>
    <row r="6379" spans="1:6" x14ac:dyDescent="0.2">
      <c r="A6379" t="s">
        <v>5838</v>
      </c>
      <c r="B6379" s="1">
        <v>7332</v>
      </c>
      <c r="C6379" s="1">
        <v>1311</v>
      </c>
      <c r="D6379" s="2">
        <v>42425</v>
      </c>
      <c r="E6379" s="1" t="s">
        <v>18</v>
      </c>
      <c r="F6379" t="str">
        <f>HYPERLINK("http://www.sec.gov/Archives/edgar/data/7332/0000007332-16-000038-index.html")</f>
        <v>http://www.sec.gov/Archives/edgar/data/7332/0000007332-16-000038-index.html</v>
      </c>
    </row>
    <row r="6380" spans="1:6" x14ac:dyDescent="0.2">
      <c r="A6380" t="s">
        <v>5839</v>
      </c>
      <c r="B6380" s="1">
        <v>739708</v>
      </c>
      <c r="C6380" s="1">
        <v>4832</v>
      </c>
      <c r="D6380" s="2">
        <v>42425</v>
      </c>
      <c r="E6380" s="1" t="s">
        <v>18</v>
      </c>
      <c r="F6380" t="str">
        <f>HYPERLINK("http://www.sec.gov/Archives/edgar/data/739708/0001400891-16-000052-index.html")</f>
        <v>http://www.sec.gov/Archives/edgar/data/739708/0001400891-16-000052-index.html</v>
      </c>
    </row>
    <row r="6381" spans="1:6" x14ac:dyDescent="0.2">
      <c r="A6381" t="s">
        <v>5840</v>
      </c>
      <c r="B6381" s="1">
        <v>744218</v>
      </c>
      <c r="C6381" s="1">
        <v>2835</v>
      </c>
      <c r="D6381" s="2">
        <v>42425</v>
      </c>
      <c r="E6381" s="1" t="s">
        <v>42</v>
      </c>
      <c r="F6381" t="str">
        <f>HYPERLINK("http://www.sec.gov/Archives/edgar/data/744218/0001047469-16-010396-index.html")</f>
        <v>http://www.sec.gov/Archives/edgar/data/744218/0001047469-16-010396-index.html</v>
      </c>
    </row>
    <row r="6382" spans="1:6" x14ac:dyDescent="0.2">
      <c r="A6382" t="s">
        <v>5841</v>
      </c>
      <c r="B6382" s="1">
        <v>746515</v>
      </c>
      <c r="C6382" s="1">
        <v>4731</v>
      </c>
      <c r="D6382" s="2">
        <v>42425</v>
      </c>
      <c r="E6382" s="1" t="s">
        <v>18</v>
      </c>
      <c r="F6382" t="str">
        <f>HYPERLINK("http://www.sec.gov/Archives/edgar/data/746515/0000746515-16-000053-index.html")</f>
        <v>http://www.sec.gov/Archives/edgar/data/746515/0000746515-16-000053-index.html</v>
      </c>
    </row>
    <row r="6383" spans="1:6" x14ac:dyDescent="0.2">
      <c r="A6383" t="s">
        <v>5842</v>
      </c>
      <c r="B6383" s="1">
        <v>75252</v>
      </c>
      <c r="C6383" s="1">
        <v>5047</v>
      </c>
      <c r="D6383" s="2">
        <v>42425</v>
      </c>
      <c r="E6383" s="1" t="s">
        <v>18</v>
      </c>
      <c r="F6383" t="str">
        <f>HYPERLINK("http://www.sec.gov/Archives/edgar/data/75252/0000075252-16-000137-index.html")</f>
        <v>http://www.sec.gov/Archives/edgar/data/75252/0000075252-16-000137-index.html</v>
      </c>
    </row>
    <row r="6384" spans="1:6" x14ac:dyDescent="0.2">
      <c r="A6384" t="s">
        <v>5843</v>
      </c>
      <c r="B6384" s="1">
        <v>752714</v>
      </c>
      <c r="C6384" s="1">
        <v>7359</v>
      </c>
      <c r="D6384" s="2">
        <v>42425</v>
      </c>
      <c r="E6384" s="1" t="s">
        <v>18</v>
      </c>
      <c r="F6384" t="str">
        <f>HYPERLINK("http://www.sec.gov/Archives/edgar/data/752714/0001564590-16-013379-index.html")</f>
        <v>http://www.sec.gov/Archives/edgar/data/752714/0001564590-16-013379-index.html</v>
      </c>
    </row>
    <row r="6385" spans="1:6" x14ac:dyDescent="0.2">
      <c r="A6385" t="s">
        <v>5844</v>
      </c>
      <c r="B6385" s="1">
        <v>76321</v>
      </c>
      <c r="C6385" s="1">
        <v>1381</v>
      </c>
      <c r="D6385" s="2">
        <v>42425</v>
      </c>
      <c r="E6385" s="1" t="s">
        <v>18</v>
      </c>
      <c r="F6385" t="str">
        <f>HYPERLINK("http://www.sec.gov/Archives/edgar/data/76321/0000076321-16-000065-index.html")</f>
        <v>http://www.sec.gov/Archives/edgar/data/76321/0000076321-16-000065-index.html</v>
      </c>
    </row>
    <row r="6386" spans="1:6" x14ac:dyDescent="0.2">
      <c r="A6386" t="s">
        <v>5845</v>
      </c>
      <c r="B6386" s="1">
        <v>764180</v>
      </c>
      <c r="C6386" s="1">
        <v>2111</v>
      </c>
      <c r="D6386" s="2">
        <v>42425</v>
      </c>
      <c r="E6386" s="1" t="s">
        <v>18</v>
      </c>
      <c r="F6386" t="str">
        <f>HYPERLINK("http://www.sec.gov/Archives/edgar/data/764180/0000764180-16-000128-index.html")</f>
        <v>http://www.sec.gov/Archives/edgar/data/764180/0000764180-16-000128-index.html</v>
      </c>
    </row>
    <row r="6387" spans="1:6" x14ac:dyDescent="0.2">
      <c r="A6387" t="s">
        <v>5846</v>
      </c>
      <c r="B6387" s="1">
        <v>776901</v>
      </c>
      <c r="C6387" s="1">
        <v>6022</v>
      </c>
      <c r="D6387" s="2">
        <v>42425</v>
      </c>
      <c r="E6387" s="1" t="s">
        <v>18</v>
      </c>
      <c r="F6387" t="str">
        <f>HYPERLINK("http://www.sec.gov/Archives/edgar/data/776901/0000776901-16-000317-index.html")</f>
        <v>http://www.sec.gov/Archives/edgar/data/776901/0000776901-16-000317-index.html</v>
      </c>
    </row>
    <row r="6388" spans="1:6" x14ac:dyDescent="0.2">
      <c r="A6388" t="s">
        <v>5847</v>
      </c>
      <c r="B6388" s="1">
        <v>784681</v>
      </c>
      <c r="C6388" s="1">
        <v>4841</v>
      </c>
      <c r="D6388" s="2">
        <v>42425</v>
      </c>
      <c r="E6388" s="1" t="s">
        <v>18</v>
      </c>
      <c r="F6388" t="str">
        <f>HYPERLINK("http://www.sec.gov/Archives/edgar/data/784681/0001628280-16-011667-index.html")</f>
        <v>http://www.sec.gov/Archives/edgar/data/784681/0001628280-16-011667-index.html</v>
      </c>
    </row>
    <row r="6389" spans="1:6" x14ac:dyDescent="0.2">
      <c r="A6389" t="s">
        <v>5848</v>
      </c>
      <c r="B6389" s="1">
        <v>785161</v>
      </c>
      <c r="C6389" s="1">
        <v>8060</v>
      </c>
      <c r="D6389" s="2">
        <v>42425</v>
      </c>
      <c r="E6389" s="1" t="s">
        <v>18</v>
      </c>
      <c r="F6389" t="str">
        <f>HYPERLINK("http://www.sec.gov/Archives/edgar/data/785161/0000785161-16-000117-index.html")</f>
        <v>http://www.sec.gov/Archives/edgar/data/785161/0000785161-16-000117-index.html</v>
      </c>
    </row>
    <row r="6390" spans="1:6" x14ac:dyDescent="0.2">
      <c r="A6390" t="s">
        <v>4100</v>
      </c>
      <c r="B6390" s="1">
        <v>790070</v>
      </c>
      <c r="C6390" s="1">
        <v>3572</v>
      </c>
      <c r="D6390" s="2">
        <v>42425</v>
      </c>
      <c r="E6390" s="1" t="s">
        <v>18</v>
      </c>
      <c r="F6390" t="str">
        <f>HYPERLINK("http://www.sec.gov/Archives/edgar/data/790070/0000790070-16-000229-index.html")</f>
        <v>http://www.sec.gov/Archives/edgar/data/790070/0000790070-16-000229-index.html</v>
      </c>
    </row>
    <row r="6391" spans="1:6" x14ac:dyDescent="0.2">
      <c r="A6391" t="s">
        <v>5849</v>
      </c>
      <c r="B6391" s="1">
        <v>790877</v>
      </c>
      <c r="C6391" s="1">
        <v>6798</v>
      </c>
      <c r="D6391" s="2">
        <v>42425</v>
      </c>
      <c r="E6391" s="1" t="s">
        <v>18</v>
      </c>
      <c r="F6391" t="str">
        <f>HYPERLINK("http://www.sec.gov/Archives/edgar/data/790877/0001444838-16-000059-index.html")</f>
        <v>http://www.sec.gov/Archives/edgar/data/790877/0001444838-16-000059-index.html</v>
      </c>
    </row>
    <row r="6392" spans="1:6" x14ac:dyDescent="0.2">
      <c r="A6392" t="s">
        <v>5850</v>
      </c>
      <c r="B6392" s="1">
        <v>798949</v>
      </c>
      <c r="C6392" s="1">
        <v>1311</v>
      </c>
      <c r="D6392" s="2">
        <v>42425</v>
      </c>
      <c r="E6392" s="1" t="s">
        <v>18</v>
      </c>
      <c r="F6392" t="str">
        <f>HYPERLINK("http://www.sec.gov/Archives/edgar/data/798949/0000798949-16-000043-index.html")</f>
        <v>http://www.sec.gov/Archives/edgar/data/798949/0000798949-16-000043-index.html</v>
      </c>
    </row>
    <row r="6393" spans="1:6" x14ac:dyDescent="0.2">
      <c r="A6393" t="s">
        <v>5851</v>
      </c>
      <c r="B6393" s="1">
        <v>805022</v>
      </c>
      <c r="C6393" s="1">
        <v>4610</v>
      </c>
      <c r="D6393" s="2">
        <v>42425</v>
      </c>
      <c r="E6393" s="1" t="s">
        <v>18</v>
      </c>
      <c r="F6393" t="str">
        <f>HYPERLINK("http://www.sec.gov/Archives/edgar/data/805022/0000805022-16-000013-index.html")</f>
        <v>http://www.sec.gov/Archives/edgar/data/805022/0000805022-16-000013-index.html</v>
      </c>
    </row>
    <row r="6394" spans="1:6" x14ac:dyDescent="0.2">
      <c r="A6394" t="s">
        <v>5852</v>
      </c>
      <c r="B6394" s="1">
        <v>81020</v>
      </c>
      <c r="C6394" s="1">
        <v>4911</v>
      </c>
      <c r="D6394" s="2">
        <v>42425</v>
      </c>
      <c r="E6394" s="1" t="s">
        <v>18</v>
      </c>
      <c r="F6394" t="str">
        <f>HYPERLINK("http://www.sec.gov/Archives/edgar/data/81020/0001326160-16-000221-index.html")</f>
        <v>http://www.sec.gov/Archives/edgar/data/81020/0001326160-16-000221-index.html</v>
      </c>
    </row>
    <row r="6395" spans="1:6" x14ac:dyDescent="0.2">
      <c r="A6395" t="s">
        <v>5853</v>
      </c>
      <c r="B6395" s="1">
        <v>81362</v>
      </c>
      <c r="C6395" s="1">
        <v>2990</v>
      </c>
      <c r="D6395" s="2">
        <v>42425</v>
      </c>
      <c r="E6395" s="1" t="s">
        <v>18</v>
      </c>
      <c r="F6395" t="str">
        <f>HYPERLINK("http://www.sec.gov/Archives/edgar/data/81362/0000081362-16-000025-index.html")</f>
        <v>http://www.sec.gov/Archives/edgar/data/81362/0000081362-16-000025-index.html</v>
      </c>
    </row>
    <row r="6396" spans="1:6" x14ac:dyDescent="0.2">
      <c r="A6396" t="s">
        <v>5854</v>
      </c>
      <c r="B6396" s="1">
        <v>820027</v>
      </c>
      <c r="C6396" s="1">
        <v>6282</v>
      </c>
      <c r="D6396" s="2">
        <v>42425</v>
      </c>
      <c r="E6396" s="1" t="s">
        <v>18</v>
      </c>
      <c r="F6396" t="str">
        <f>HYPERLINK("http://www.sec.gov/Archives/edgar/data/820027/0000820027-16-000168-index.html")</f>
        <v>http://www.sec.gov/Archives/edgar/data/820027/0000820027-16-000168-index.html</v>
      </c>
    </row>
    <row r="6397" spans="1:6" x14ac:dyDescent="0.2">
      <c r="A6397" t="s">
        <v>5855</v>
      </c>
      <c r="B6397" s="1">
        <v>822818</v>
      </c>
      <c r="C6397" s="1">
        <v>4955</v>
      </c>
      <c r="D6397" s="2">
        <v>42425</v>
      </c>
      <c r="E6397" s="1" t="s">
        <v>18</v>
      </c>
      <c r="F6397" t="str">
        <f>HYPERLINK("http://www.sec.gov/Archives/edgar/data/822818/0000822818-16-000033-index.html")</f>
        <v>http://www.sec.gov/Archives/edgar/data/822818/0000822818-16-000033-index.html</v>
      </c>
    </row>
    <row r="6398" spans="1:6" x14ac:dyDescent="0.2">
      <c r="A6398" t="s">
        <v>5856</v>
      </c>
      <c r="B6398" s="1">
        <v>824142</v>
      </c>
      <c r="C6398" s="1">
        <v>3585</v>
      </c>
      <c r="D6398" s="2">
        <v>42425</v>
      </c>
      <c r="E6398" s="1" t="s">
        <v>18</v>
      </c>
      <c r="F6398" t="str">
        <f>HYPERLINK("http://www.sec.gov/Archives/edgar/data/824142/0000824142-16-000118-index.html")</f>
        <v>http://www.sec.gov/Archives/edgar/data/824142/0000824142-16-000118-index.html</v>
      </c>
    </row>
    <row r="6399" spans="1:6" x14ac:dyDescent="0.2">
      <c r="A6399" t="s">
        <v>5857</v>
      </c>
      <c r="B6399" s="1">
        <v>827809</v>
      </c>
      <c r="C6399" s="1">
        <v>2834</v>
      </c>
      <c r="D6399" s="2">
        <v>42425</v>
      </c>
      <c r="E6399" s="1" t="s">
        <v>18</v>
      </c>
      <c r="F6399" t="str">
        <f>HYPERLINK("http://www.sec.gov/Archives/edgar/data/827809/0001193125-16-478534-index.html")</f>
        <v>http://www.sec.gov/Archives/edgar/data/827809/0001193125-16-478534-index.html</v>
      </c>
    </row>
    <row r="6400" spans="1:6" x14ac:dyDescent="0.2">
      <c r="A6400" t="s">
        <v>193</v>
      </c>
      <c r="B6400" s="1">
        <v>834365</v>
      </c>
      <c r="C6400" s="1">
        <v>3845</v>
      </c>
      <c r="D6400" s="2">
        <v>42425</v>
      </c>
      <c r="E6400" s="1" t="s">
        <v>18</v>
      </c>
      <c r="F6400" t="str">
        <f>HYPERLINK("http://www.sec.gov/Archives/edgar/data/834365/0001354488-16-006364-index.html")</f>
        <v>http://www.sec.gov/Archives/edgar/data/834365/0001354488-16-006364-index.html</v>
      </c>
    </row>
    <row r="6401" spans="1:6" x14ac:dyDescent="0.2">
      <c r="A6401" t="s">
        <v>5858</v>
      </c>
      <c r="B6401" s="1">
        <v>849869</v>
      </c>
      <c r="C6401" s="1">
        <v>3411</v>
      </c>
      <c r="D6401" s="2">
        <v>42425</v>
      </c>
      <c r="E6401" s="1" t="s">
        <v>18</v>
      </c>
      <c r="F6401" t="str">
        <f>HYPERLINK("http://www.sec.gov/Archives/edgar/data/849869/0000849869-16-000051-index.html")</f>
        <v>http://www.sec.gov/Archives/edgar/data/849869/0000849869-16-000051-index.html</v>
      </c>
    </row>
    <row r="6402" spans="1:6" x14ac:dyDescent="0.2">
      <c r="A6402" t="s">
        <v>5859</v>
      </c>
      <c r="B6402" s="1">
        <v>860546</v>
      </c>
      <c r="C6402" s="1">
        <v>6798</v>
      </c>
      <c r="D6402" s="2">
        <v>42425</v>
      </c>
      <c r="E6402" s="1" t="s">
        <v>18</v>
      </c>
      <c r="F6402" t="str">
        <f>HYPERLINK("http://www.sec.gov/Archives/edgar/data/860546/0000860546-16-000064-index.html")</f>
        <v>http://www.sec.gov/Archives/edgar/data/860546/0000860546-16-000064-index.html</v>
      </c>
    </row>
    <row r="6403" spans="1:6" x14ac:dyDescent="0.2">
      <c r="A6403" t="s">
        <v>5860</v>
      </c>
      <c r="B6403" s="1">
        <v>861361</v>
      </c>
      <c r="C6403" s="1">
        <v>2531</v>
      </c>
      <c r="D6403" s="2">
        <v>42425</v>
      </c>
      <c r="E6403" s="1" t="s">
        <v>18</v>
      </c>
      <c r="F6403" t="str">
        <f>HYPERLINK("http://www.sec.gov/Archives/edgar/data/861361/0001558370-16-003552-index.html")</f>
        <v>http://www.sec.gov/Archives/edgar/data/861361/0001558370-16-003552-index.html</v>
      </c>
    </row>
    <row r="6404" spans="1:6" x14ac:dyDescent="0.2">
      <c r="A6404" t="s">
        <v>5861</v>
      </c>
      <c r="B6404" s="1">
        <v>861459</v>
      </c>
      <c r="C6404" s="1">
        <v>1600</v>
      </c>
      <c r="D6404" s="2">
        <v>42425</v>
      </c>
      <c r="E6404" s="1" t="s">
        <v>18</v>
      </c>
      <c r="F6404" t="str">
        <f>HYPERLINK("http://www.sec.gov/Archives/edgar/data/861459/0000861459-16-000040-index.html")</f>
        <v>http://www.sec.gov/Archives/edgar/data/861459/0000861459-16-000040-index.html</v>
      </c>
    </row>
    <row r="6405" spans="1:6" x14ac:dyDescent="0.2">
      <c r="A6405" t="s">
        <v>5862</v>
      </c>
      <c r="B6405" s="1">
        <v>868671</v>
      </c>
      <c r="C6405" s="1">
        <v>6022</v>
      </c>
      <c r="D6405" s="2">
        <v>42425</v>
      </c>
      <c r="E6405" s="1" t="s">
        <v>18</v>
      </c>
      <c r="F6405" t="str">
        <f>HYPERLINK("http://www.sec.gov/Archives/edgar/data/868671/0000868671-16-000137-index.html")</f>
        <v>http://www.sec.gov/Archives/edgar/data/868671/0000868671-16-000137-index.html</v>
      </c>
    </row>
    <row r="6406" spans="1:6" x14ac:dyDescent="0.2">
      <c r="A6406" t="s">
        <v>5863</v>
      </c>
      <c r="B6406" s="1">
        <v>873303</v>
      </c>
      <c r="C6406" s="1">
        <v>2834</v>
      </c>
      <c r="D6406" s="2">
        <v>42425</v>
      </c>
      <c r="E6406" s="1" t="s">
        <v>18</v>
      </c>
      <c r="F6406" t="str">
        <f>HYPERLINK("http://www.sec.gov/Archives/edgar/data/873303/0001564590-16-013358-index.html")</f>
        <v>http://www.sec.gov/Archives/edgar/data/873303/0001564590-16-013358-index.html</v>
      </c>
    </row>
    <row r="6407" spans="1:6" x14ac:dyDescent="0.2">
      <c r="A6407" t="s">
        <v>5864</v>
      </c>
      <c r="B6407" s="1">
        <v>879575</v>
      </c>
      <c r="C6407" s="1">
        <v>2870</v>
      </c>
      <c r="D6407" s="2">
        <v>42425</v>
      </c>
      <c r="E6407" s="1" t="s">
        <v>18</v>
      </c>
      <c r="F6407" t="str">
        <f>HYPERLINK("http://www.sec.gov/Archives/edgar/data/879575/0000879575-16-000018-index.html")</f>
        <v>http://www.sec.gov/Archives/edgar/data/879575/0000879575-16-000018-index.html</v>
      </c>
    </row>
    <row r="6408" spans="1:6" x14ac:dyDescent="0.2">
      <c r="A6408" t="s">
        <v>5865</v>
      </c>
      <c r="B6408" s="1">
        <v>88121</v>
      </c>
      <c r="C6408" s="1">
        <v>6221</v>
      </c>
      <c r="D6408" s="2">
        <v>42425</v>
      </c>
      <c r="E6408" s="1" t="s">
        <v>18</v>
      </c>
      <c r="F6408" t="str">
        <f>HYPERLINK("http://www.sec.gov/Archives/edgar/data/88121/0001558370-16-003549-index.html")</f>
        <v>http://www.sec.gov/Archives/edgar/data/88121/0001558370-16-003549-index.html</v>
      </c>
    </row>
    <row r="6409" spans="1:6" x14ac:dyDescent="0.2">
      <c r="A6409" t="s">
        <v>5866</v>
      </c>
      <c r="B6409" s="1">
        <v>883948</v>
      </c>
      <c r="C6409" s="1">
        <v>6022</v>
      </c>
      <c r="D6409" s="2">
        <v>42425</v>
      </c>
      <c r="E6409" s="1" t="s">
        <v>18</v>
      </c>
      <c r="F6409" t="str">
        <f>HYPERLINK("http://www.sec.gov/Archives/edgar/data/883948/0001144204-16-084271-index.html")</f>
        <v>http://www.sec.gov/Archives/edgar/data/883948/0001144204-16-084271-index.html</v>
      </c>
    </row>
    <row r="6410" spans="1:6" x14ac:dyDescent="0.2">
      <c r="A6410" t="s">
        <v>5867</v>
      </c>
      <c r="B6410" s="1">
        <v>883980</v>
      </c>
      <c r="C6410" s="1">
        <v>7389</v>
      </c>
      <c r="D6410" s="2">
        <v>42425</v>
      </c>
      <c r="E6410" s="1" t="s">
        <v>18</v>
      </c>
      <c r="F6410" t="str">
        <f>HYPERLINK("http://www.sec.gov/Archives/edgar/data/883980/0001628280-16-011729-index.html")</f>
        <v>http://www.sec.gov/Archives/edgar/data/883980/0001628280-16-011729-index.html</v>
      </c>
    </row>
    <row r="6411" spans="1:6" x14ac:dyDescent="0.2">
      <c r="A6411" t="s">
        <v>5868</v>
      </c>
      <c r="B6411" s="1">
        <v>886835</v>
      </c>
      <c r="C6411" s="1">
        <v>1389</v>
      </c>
      <c r="D6411" s="2">
        <v>42425</v>
      </c>
      <c r="E6411" s="1" t="s">
        <v>18</v>
      </c>
      <c r="F6411" t="str">
        <f>HYPERLINK("http://www.sec.gov/Archives/edgar/data/886835/0000886835-16-000032-index.html")</f>
        <v>http://www.sec.gov/Archives/edgar/data/886835/0000886835-16-000032-index.html</v>
      </c>
    </row>
    <row r="6412" spans="1:6" x14ac:dyDescent="0.2">
      <c r="A6412" t="s">
        <v>5869</v>
      </c>
      <c r="B6412" s="1">
        <v>887596</v>
      </c>
      <c r="C6412" s="1">
        <v>5812</v>
      </c>
      <c r="D6412" s="2">
        <v>42425</v>
      </c>
      <c r="E6412" s="1" t="s">
        <v>18</v>
      </c>
      <c r="F6412" t="str">
        <f>HYPERLINK("http://www.sec.gov/Archives/edgar/data/887596/0001104659-16-100056-index.html")</f>
        <v>http://www.sec.gov/Archives/edgar/data/887596/0001104659-16-100056-index.html</v>
      </c>
    </row>
    <row r="6413" spans="1:6" x14ac:dyDescent="0.2">
      <c r="A6413" t="s">
        <v>5870</v>
      </c>
      <c r="B6413" s="1">
        <v>887936</v>
      </c>
      <c r="C6413" s="1">
        <v>8742</v>
      </c>
      <c r="D6413" s="2">
        <v>42425</v>
      </c>
      <c r="E6413" s="1" t="s">
        <v>18</v>
      </c>
      <c r="F6413" t="str">
        <f>HYPERLINK("http://www.sec.gov/Archives/edgar/data/887936/0001564590-16-013288-index.html")</f>
        <v>http://www.sec.gov/Archives/edgar/data/887936/0001564590-16-013288-index.html</v>
      </c>
    </row>
    <row r="6414" spans="1:6" x14ac:dyDescent="0.2">
      <c r="A6414" t="s">
        <v>5871</v>
      </c>
      <c r="B6414" s="1">
        <v>895126</v>
      </c>
      <c r="C6414" s="1">
        <v>1311</v>
      </c>
      <c r="D6414" s="2">
        <v>42425</v>
      </c>
      <c r="E6414" s="1" t="s">
        <v>18</v>
      </c>
      <c r="F6414" t="str">
        <f>HYPERLINK("http://www.sec.gov/Archives/edgar/data/895126/0000895126-16-000395-index.html")</f>
        <v>http://www.sec.gov/Archives/edgar/data/895126/0000895126-16-000395-index.html</v>
      </c>
    </row>
    <row r="6415" spans="1:6" x14ac:dyDescent="0.2">
      <c r="A6415" t="s">
        <v>5872</v>
      </c>
      <c r="B6415" s="1">
        <v>895930</v>
      </c>
      <c r="C6415" s="1">
        <v>8011</v>
      </c>
      <c r="D6415" s="2">
        <v>42425</v>
      </c>
      <c r="E6415" s="1" t="s">
        <v>18</v>
      </c>
      <c r="F6415" t="str">
        <f>HYPERLINK("http://www.sec.gov/Archives/edgar/data/895930/0000895930-16-000153-index.html")</f>
        <v>http://www.sec.gov/Archives/edgar/data/895930/0000895930-16-000153-index.html</v>
      </c>
    </row>
    <row r="6416" spans="1:6" x14ac:dyDescent="0.2">
      <c r="A6416" t="s">
        <v>5873</v>
      </c>
      <c r="B6416" s="1">
        <v>896622</v>
      </c>
      <c r="C6416" s="1">
        <v>3089</v>
      </c>
      <c r="D6416" s="2">
        <v>42425</v>
      </c>
      <c r="E6416" s="1" t="s">
        <v>18</v>
      </c>
      <c r="F6416" t="str">
        <f>HYPERLINK("http://www.sec.gov/Archives/edgar/data/896622/0001558370-16-003527-index.html")</f>
        <v>http://www.sec.gov/Archives/edgar/data/896622/0001558370-16-003527-index.html</v>
      </c>
    </row>
    <row r="6417" spans="1:6" x14ac:dyDescent="0.2">
      <c r="A6417" t="s">
        <v>5874</v>
      </c>
      <c r="B6417" s="1">
        <v>897448</v>
      </c>
      <c r="C6417" s="1">
        <v>2834</v>
      </c>
      <c r="D6417" s="2">
        <v>42425</v>
      </c>
      <c r="E6417" s="1" t="s">
        <v>18</v>
      </c>
      <c r="F6417" t="str">
        <f>HYPERLINK("http://www.sec.gov/Archives/edgar/data/897448/0001193125-16-476872-index.html")</f>
        <v>http://www.sec.gov/Archives/edgar/data/897448/0001193125-16-476872-index.html</v>
      </c>
    </row>
    <row r="6418" spans="1:6" x14ac:dyDescent="0.2">
      <c r="A6418" t="s">
        <v>5875</v>
      </c>
      <c r="B6418" s="1">
        <v>899045</v>
      </c>
      <c r="C6418" s="1">
        <v>6798</v>
      </c>
      <c r="D6418" s="2">
        <v>42425</v>
      </c>
      <c r="E6418" s="1" t="s">
        <v>18</v>
      </c>
      <c r="F6418" t="str">
        <f>HYPERLINK("http://www.sec.gov/Archives/edgar/data/899045/0001193125-16-478563-index.html")</f>
        <v>http://www.sec.gov/Archives/edgar/data/899045/0001193125-16-478563-index.html</v>
      </c>
    </row>
    <row r="6419" spans="1:6" x14ac:dyDescent="0.2">
      <c r="A6419" t="s">
        <v>5876</v>
      </c>
      <c r="B6419" s="1">
        <v>899751</v>
      </c>
      <c r="C6419" s="1">
        <v>3312</v>
      </c>
      <c r="D6419" s="2">
        <v>42425</v>
      </c>
      <c r="E6419" s="1" t="s">
        <v>18</v>
      </c>
      <c r="F6419" t="str">
        <f>HYPERLINK("http://www.sec.gov/Archives/edgar/data/899751/0000899751-16-000098-index.html")</f>
        <v>http://www.sec.gov/Archives/edgar/data/899751/0000899751-16-000098-index.html</v>
      </c>
    </row>
    <row r="6420" spans="1:6" x14ac:dyDescent="0.2">
      <c r="A6420" t="s">
        <v>5877</v>
      </c>
      <c r="B6420" s="1">
        <v>903129</v>
      </c>
      <c r="C6420" s="1">
        <v>3714</v>
      </c>
      <c r="D6420" s="2">
        <v>42425</v>
      </c>
      <c r="E6420" s="1" t="s">
        <v>18</v>
      </c>
      <c r="F6420" t="str">
        <f>HYPERLINK("http://www.sec.gov/Archives/edgar/data/903129/0001564590-16-013314-index.html")</f>
        <v>http://www.sec.gov/Archives/edgar/data/903129/0001564590-16-013314-index.html</v>
      </c>
    </row>
    <row r="6421" spans="1:6" x14ac:dyDescent="0.2">
      <c r="A6421" t="s">
        <v>5878</v>
      </c>
      <c r="B6421" s="1">
        <v>906107</v>
      </c>
      <c r="C6421" s="1">
        <v>6798</v>
      </c>
      <c r="D6421" s="2">
        <v>42425</v>
      </c>
      <c r="E6421" s="1" t="s">
        <v>18</v>
      </c>
      <c r="F6421" t="str">
        <f>HYPERLINK("http://www.sec.gov/Archives/edgar/data/906107/0000906107-16-000029-index.html")</f>
        <v>http://www.sec.gov/Archives/edgar/data/906107/0000906107-16-000029-index.html</v>
      </c>
    </row>
    <row r="6422" spans="1:6" x14ac:dyDescent="0.2">
      <c r="A6422" t="s">
        <v>5879</v>
      </c>
      <c r="B6422" s="1">
        <v>906553</v>
      </c>
      <c r="C6422" s="1">
        <v>7011</v>
      </c>
      <c r="D6422" s="2">
        <v>42425</v>
      </c>
      <c r="E6422" s="1" t="s">
        <v>18</v>
      </c>
      <c r="F6422" t="str">
        <f>HYPERLINK("http://www.sec.gov/Archives/edgar/data/906553/0000906553-16-000053-index.html")</f>
        <v>http://www.sec.gov/Archives/edgar/data/906553/0000906553-16-000053-index.html</v>
      </c>
    </row>
    <row r="6423" spans="1:6" x14ac:dyDescent="0.2">
      <c r="A6423" t="s">
        <v>5880</v>
      </c>
      <c r="B6423" s="1">
        <v>909108</v>
      </c>
      <c r="C6423" s="1">
        <v>6282</v>
      </c>
      <c r="D6423" s="2">
        <v>42425</v>
      </c>
      <c r="E6423" s="1" t="s">
        <v>18</v>
      </c>
      <c r="F6423" t="str">
        <f>HYPERLINK("http://www.sec.gov/Archives/edgar/data/909108/0000909108-16-000123-index.html")</f>
        <v>http://www.sec.gov/Archives/edgar/data/909108/0000909108-16-000123-index.html</v>
      </c>
    </row>
    <row r="6424" spans="1:6" x14ac:dyDescent="0.2">
      <c r="A6424" t="s">
        <v>5881</v>
      </c>
      <c r="B6424" s="1">
        <v>910108</v>
      </c>
      <c r="C6424" s="1">
        <v>6798</v>
      </c>
      <c r="D6424" s="2">
        <v>42425</v>
      </c>
      <c r="E6424" s="1" t="s">
        <v>18</v>
      </c>
      <c r="F6424" t="str">
        <f>HYPERLINK("http://www.sec.gov/Archives/edgar/data/910108/0001444838-16-000058-index.html")</f>
        <v>http://www.sec.gov/Archives/edgar/data/910108/0001444838-16-000058-index.html</v>
      </c>
    </row>
    <row r="6425" spans="1:6" x14ac:dyDescent="0.2">
      <c r="A6425" t="s">
        <v>5882</v>
      </c>
      <c r="B6425" s="1">
        <v>911421</v>
      </c>
      <c r="C6425" s="1">
        <v>6321</v>
      </c>
      <c r="D6425" s="2">
        <v>42425</v>
      </c>
      <c r="E6425" s="1" t="s">
        <v>18</v>
      </c>
      <c r="F6425" t="str">
        <f>HYPERLINK("http://www.sec.gov/Archives/edgar/data/911421/0000911421-16-000072-index.html")</f>
        <v>http://www.sec.gov/Archives/edgar/data/911421/0000911421-16-000072-index.html</v>
      </c>
    </row>
    <row r="6426" spans="1:6" x14ac:dyDescent="0.2">
      <c r="A6426" t="s">
        <v>5883</v>
      </c>
      <c r="B6426" s="1">
        <v>913142</v>
      </c>
      <c r="C6426" s="1">
        <v>3357</v>
      </c>
      <c r="D6426" s="2">
        <v>42425</v>
      </c>
      <c r="E6426" s="1" t="s">
        <v>18</v>
      </c>
      <c r="F6426" t="str">
        <f>HYPERLINK("http://www.sec.gov/Archives/edgar/data/913142/0001193125-16-477756-index.html")</f>
        <v>http://www.sec.gov/Archives/edgar/data/913142/0001193125-16-477756-index.html</v>
      </c>
    </row>
    <row r="6427" spans="1:6" x14ac:dyDescent="0.2">
      <c r="A6427" t="s">
        <v>5884</v>
      </c>
      <c r="B6427" s="1">
        <v>915389</v>
      </c>
      <c r="C6427" s="1">
        <v>2821</v>
      </c>
      <c r="D6427" s="2">
        <v>42425</v>
      </c>
      <c r="E6427" s="1" t="s">
        <v>18</v>
      </c>
      <c r="F6427" t="str">
        <f>HYPERLINK("http://www.sec.gov/Archives/edgar/data/915389/0000915389-16-000095-index.html")</f>
        <v>http://www.sec.gov/Archives/edgar/data/915389/0000915389-16-000095-index.html</v>
      </c>
    </row>
    <row r="6428" spans="1:6" x14ac:dyDescent="0.2">
      <c r="A6428" t="s">
        <v>5885</v>
      </c>
      <c r="B6428" s="1">
        <v>917470</v>
      </c>
      <c r="C6428" s="1">
        <v>5051</v>
      </c>
      <c r="D6428" s="2">
        <v>42425</v>
      </c>
      <c r="E6428" s="1" t="s">
        <v>18</v>
      </c>
      <c r="F6428" t="str">
        <f>HYPERLINK("http://www.sec.gov/Archives/edgar/data/917470/0001437749-16-026045-index.html")</f>
        <v>http://www.sec.gov/Archives/edgar/data/917470/0001437749-16-026045-index.html</v>
      </c>
    </row>
    <row r="6429" spans="1:6" x14ac:dyDescent="0.2">
      <c r="A6429" t="s">
        <v>5886</v>
      </c>
      <c r="B6429" s="1">
        <v>920465</v>
      </c>
      <c r="C6429" s="1">
        <v>2836</v>
      </c>
      <c r="D6429" s="2">
        <v>42425</v>
      </c>
      <c r="E6429" s="1" t="s">
        <v>18</v>
      </c>
      <c r="F6429" t="str">
        <f>HYPERLINK("http://www.sec.gov/Archives/edgar/data/920465/0000920465-16-000106-index.html")</f>
        <v>http://www.sec.gov/Archives/edgar/data/920465/0000920465-16-000106-index.html</v>
      </c>
    </row>
    <row r="6430" spans="1:6" x14ac:dyDescent="0.2">
      <c r="A6430" t="s">
        <v>5887</v>
      </c>
      <c r="B6430" s="1">
        <v>921825</v>
      </c>
      <c r="C6430" s="1">
        <v>6798</v>
      </c>
      <c r="D6430" s="2">
        <v>42425</v>
      </c>
      <c r="E6430" s="1" t="s">
        <v>18</v>
      </c>
      <c r="F6430" t="str">
        <f>HYPERLINK("http://www.sec.gov/Archives/edgar/data/921825/0000921825-16-000037-index.html")</f>
        <v>http://www.sec.gov/Archives/edgar/data/921825/0000921825-16-000037-index.html</v>
      </c>
    </row>
    <row r="6431" spans="1:6" x14ac:dyDescent="0.2">
      <c r="A6431" t="s">
        <v>5888</v>
      </c>
      <c r="B6431" s="1">
        <v>92230</v>
      </c>
      <c r="C6431" s="1">
        <v>6021</v>
      </c>
      <c r="D6431" s="2">
        <v>42425</v>
      </c>
      <c r="E6431" s="1" t="s">
        <v>18</v>
      </c>
      <c r="F6431" t="str">
        <f>HYPERLINK("http://www.sec.gov/Archives/edgar/data/92230/0000092230-16-000125-index.html")</f>
        <v>http://www.sec.gov/Archives/edgar/data/92230/0000092230-16-000125-index.html</v>
      </c>
    </row>
    <row r="6432" spans="1:6" x14ac:dyDescent="0.2">
      <c r="A6432" t="s">
        <v>5889</v>
      </c>
      <c r="B6432" s="1">
        <v>922621</v>
      </c>
      <c r="C6432" s="1">
        <v>6411</v>
      </c>
      <c r="D6432" s="2">
        <v>42425</v>
      </c>
      <c r="E6432" s="1" t="s">
        <v>18</v>
      </c>
      <c r="F6432" t="str">
        <f>HYPERLINK("http://www.sec.gov/Archives/edgar/data/922621/0000922621-16-000067-index.html")</f>
        <v>http://www.sec.gov/Archives/edgar/data/922621/0000922621-16-000067-index.html</v>
      </c>
    </row>
    <row r="6433" spans="1:6" x14ac:dyDescent="0.2">
      <c r="A6433" t="s">
        <v>5890</v>
      </c>
      <c r="B6433" s="1">
        <v>92416</v>
      </c>
      <c r="C6433" s="1">
        <v>4923</v>
      </c>
      <c r="D6433" s="2">
        <v>42425</v>
      </c>
      <c r="E6433" s="1" t="s">
        <v>18</v>
      </c>
      <c r="F6433" t="str">
        <f>HYPERLINK("http://www.sec.gov/Archives/edgar/data/92416/0001193125-16-477109-index.html")</f>
        <v>http://www.sec.gov/Archives/edgar/data/92416/0001193125-16-477109-index.html</v>
      </c>
    </row>
    <row r="6434" spans="1:6" x14ac:dyDescent="0.2">
      <c r="A6434" t="s">
        <v>5891</v>
      </c>
      <c r="B6434" s="1">
        <v>927003</v>
      </c>
      <c r="C6434" s="1">
        <v>3679</v>
      </c>
      <c r="D6434" s="2">
        <v>42425</v>
      </c>
      <c r="E6434" s="1" t="s">
        <v>18</v>
      </c>
      <c r="F6434" t="str">
        <f>HYPERLINK("http://www.sec.gov/Archives/edgar/data/927003/0000927003-16-000094-index.html")</f>
        <v>http://www.sec.gov/Archives/edgar/data/927003/0000927003-16-000094-index.html</v>
      </c>
    </row>
    <row r="6435" spans="1:6" x14ac:dyDescent="0.2">
      <c r="A6435" t="s">
        <v>5892</v>
      </c>
      <c r="B6435" s="1">
        <v>927628</v>
      </c>
      <c r="C6435" s="1">
        <v>6021</v>
      </c>
      <c r="D6435" s="2">
        <v>42425</v>
      </c>
      <c r="E6435" s="1" t="s">
        <v>18</v>
      </c>
      <c r="F6435" t="str">
        <f>HYPERLINK("http://www.sec.gov/Archives/edgar/data/927628/0000927628-16-000140-index.html")</f>
        <v>http://www.sec.gov/Archives/edgar/data/927628/0000927628-16-000140-index.html</v>
      </c>
    </row>
    <row r="6436" spans="1:6" x14ac:dyDescent="0.2">
      <c r="A6436" t="s">
        <v>5893</v>
      </c>
      <c r="B6436" s="1">
        <v>931182</v>
      </c>
      <c r="C6436" s="1">
        <v>6798</v>
      </c>
      <c r="D6436" s="2">
        <v>42425</v>
      </c>
      <c r="E6436" s="1" t="s">
        <v>18</v>
      </c>
      <c r="F6436" t="str">
        <f>HYPERLINK("http://www.sec.gov/Archives/edgar/data/931182/0000906107-16-000029-index.html")</f>
        <v>http://www.sec.gov/Archives/edgar/data/931182/0000906107-16-000029-index.html</v>
      </c>
    </row>
    <row r="6437" spans="1:6" x14ac:dyDescent="0.2">
      <c r="A6437" t="s">
        <v>5894</v>
      </c>
      <c r="B6437" s="1">
        <v>93410</v>
      </c>
      <c r="C6437" s="1">
        <v>2911</v>
      </c>
      <c r="D6437" s="2">
        <v>42425</v>
      </c>
      <c r="E6437" s="1" t="s">
        <v>18</v>
      </c>
      <c r="F6437" t="str">
        <f>HYPERLINK("http://www.sec.gov/Archives/edgar/data/93410/0000093410-16-000049-index.html")</f>
        <v>http://www.sec.gov/Archives/edgar/data/93410/0000093410-16-000049-index.html</v>
      </c>
    </row>
    <row r="6438" spans="1:6" x14ac:dyDescent="0.2">
      <c r="A6438" t="s">
        <v>5895</v>
      </c>
      <c r="B6438" s="1">
        <v>944314</v>
      </c>
      <c r="C6438" s="1">
        <v>6798</v>
      </c>
      <c r="D6438" s="2">
        <v>42425</v>
      </c>
      <c r="E6438" s="1" t="s">
        <v>18</v>
      </c>
      <c r="F6438" t="str">
        <f>HYPERLINK("http://www.sec.gov/Archives/edgar/data/944314/0001193125-16-478278-index.html")</f>
        <v>http://www.sec.gov/Archives/edgar/data/944314/0001193125-16-478278-index.html</v>
      </c>
    </row>
    <row r="6439" spans="1:6" x14ac:dyDescent="0.2">
      <c r="A6439" t="s">
        <v>5896</v>
      </c>
      <c r="B6439" s="1">
        <v>944695</v>
      </c>
      <c r="C6439" s="1">
        <v>6331</v>
      </c>
      <c r="D6439" s="2">
        <v>42425</v>
      </c>
      <c r="E6439" s="1" t="s">
        <v>18</v>
      </c>
      <c r="F6439" t="str">
        <f>HYPERLINK("http://www.sec.gov/Archives/edgar/data/944695/0000944695-16-000135-index.html")</f>
        <v>http://www.sec.gov/Archives/edgar/data/944695/0000944695-16-000135-index.html</v>
      </c>
    </row>
    <row r="6440" spans="1:6" x14ac:dyDescent="0.2">
      <c r="A6440" t="s">
        <v>5897</v>
      </c>
      <c r="B6440" s="1">
        <v>95574</v>
      </c>
      <c r="C6440" s="1">
        <v>2300</v>
      </c>
      <c r="D6440" s="2">
        <v>42425</v>
      </c>
      <c r="E6440" s="1" t="s">
        <v>18</v>
      </c>
      <c r="F6440" t="str">
        <f>HYPERLINK("http://www.sec.gov/Archives/edgar/data/95574/0001437749-16-026016-index.html")</f>
        <v>http://www.sec.gov/Archives/edgar/data/95574/0001437749-16-026016-index.html</v>
      </c>
    </row>
    <row r="6441" spans="1:6" x14ac:dyDescent="0.2">
      <c r="A6441" t="s">
        <v>5898</v>
      </c>
      <c r="B6441" s="1">
        <v>96943</v>
      </c>
      <c r="C6441" s="1">
        <v>3841</v>
      </c>
      <c r="D6441" s="2">
        <v>42425</v>
      </c>
      <c r="E6441" s="1" t="s">
        <v>18</v>
      </c>
      <c r="F6441" t="str">
        <f>HYPERLINK("http://www.sec.gov/Archives/edgar/data/96943/0000096943-16-000154-index.html")</f>
        <v>http://www.sec.gov/Archives/edgar/data/96943/0000096943-16-000154-index.html</v>
      </c>
    </row>
    <row r="6442" spans="1:6" x14ac:dyDescent="0.2">
      <c r="A6442" t="s">
        <v>5899</v>
      </c>
      <c r="B6442" s="1">
        <v>97745</v>
      </c>
      <c r="C6442" s="1">
        <v>3829</v>
      </c>
      <c r="D6442" s="2">
        <v>42425</v>
      </c>
      <c r="E6442" s="1" t="s">
        <v>18</v>
      </c>
      <c r="F6442" t="str">
        <f>HYPERLINK("http://www.sec.gov/Archives/edgar/data/97745/0000097745-16-000043-index.html")</f>
        <v>http://www.sec.gov/Archives/edgar/data/97745/0000097745-16-000043-index.html</v>
      </c>
    </row>
    <row r="6443" spans="1:6" x14ac:dyDescent="0.2">
      <c r="A6443" t="s">
        <v>5900</v>
      </c>
      <c r="B6443" s="1">
        <v>1015780</v>
      </c>
      <c r="C6443" s="1">
        <v>6035</v>
      </c>
      <c r="D6443" s="2">
        <v>42424</v>
      </c>
      <c r="E6443" s="1" t="s">
        <v>18</v>
      </c>
      <c r="F6443" t="str">
        <f>HYPERLINK("http://www.sec.gov/Archives/edgar/data/1015780/0001015780-16-000121-index.html")</f>
        <v>http://www.sec.gov/Archives/edgar/data/1015780/0001015780-16-000121-index.html</v>
      </c>
    </row>
    <row r="6444" spans="1:6" x14ac:dyDescent="0.2">
      <c r="A6444" t="s">
        <v>5901</v>
      </c>
      <c r="B6444" s="1">
        <v>1024725</v>
      </c>
      <c r="C6444" s="1">
        <v>3714</v>
      </c>
      <c r="D6444" s="2">
        <v>42424</v>
      </c>
      <c r="E6444" s="1" t="s">
        <v>18</v>
      </c>
      <c r="F6444" t="str">
        <f>HYPERLINK("http://www.sec.gov/Archives/edgar/data/1024725/0001024725-16-000026-index.html")</f>
        <v>http://www.sec.gov/Archives/edgar/data/1024725/0001024725-16-000026-index.html</v>
      </c>
    </row>
    <row r="6445" spans="1:6" x14ac:dyDescent="0.2">
      <c r="A6445" t="s">
        <v>5902</v>
      </c>
      <c r="B6445" s="1">
        <v>102729</v>
      </c>
      <c r="C6445" s="1">
        <v>3440</v>
      </c>
      <c r="D6445" s="2">
        <v>42424</v>
      </c>
      <c r="E6445" s="1" t="s">
        <v>18</v>
      </c>
      <c r="F6445" t="str">
        <f>HYPERLINK("http://www.sec.gov/Archives/edgar/data/102729/0000102729-16-000009-index.html")</f>
        <v>http://www.sec.gov/Archives/edgar/data/102729/0000102729-16-000009-index.html</v>
      </c>
    </row>
    <row r="6446" spans="1:6" x14ac:dyDescent="0.2">
      <c r="A6446" t="s">
        <v>5903</v>
      </c>
      <c r="B6446" s="1">
        <v>104918</v>
      </c>
      <c r="C6446" s="1">
        <v>4931</v>
      </c>
      <c r="D6446" s="2">
        <v>42424</v>
      </c>
      <c r="E6446" s="1" t="s">
        <v>18</v>
      </c>
      <c r="F6446" t="str">
        <f>HYPERLINK("http://www.sec.gov/Archives/edgar/data/104918/0000104918-16-000185-index.html")</f>
        <v>http://www.sec.gov/Archives/edgar/data/104918/0000104918-16-000185-index.html</v>
      </c>
    </row>
    <row r="6447" spans="1:6" x14ac:dyDescent="0.2">
      <c r="A6447" t="s">
        <v>5904</v>
      </c>
      <c r="B6447" s="1">
        <v>1051512</v>
      </c>
      <c r="C6447" s="1">
        <v>4813</v>
      </c>
      <c r="D6447" s="2">
        <v>42424</v>
      </c>
      <c r="E6447" s="1" t="s">
        <v>18</v>
      </c>
      <c r="F6447" t="str">
        <f>HYPERLINK("http://www.sec.gov/Archives/edgar/data/1051512/0001051512-16-000077-index.html")</f>
        <v>http://www.sec.gov/Archives/edgar/data/1051512/0001051512-16-000077-index.html</v>
      </c>
    </row>
    <row r="6448" spans="1:6" x14ac:dyDescent="0.2">
      <c r="A6448" t="s">
        <v>5905</v>
      </c>
      <c r="B6448" s="1">
        <v>1056903</v>
      </c>
      <c r="C6448" s="1">
        <v>4941</v>
      </c>
      <c r="D6448" s="2">
        <v>42424</v>
      </c>
      <c r="E6448" s="1" t="s">
        <v>18</v>
      </c>
      <c r="F6448" t="str">
        <f>HYPERLINK("http://www.sec.gov/Archives/edgar/data/1056903/0001056903-16-000024-index.html")</f>
        <v>http://www.sec.gov/Archives/edgar/data/1056903/0001056903-16-000024-index.html</v>
      </c>
    </row>
    <row r="6449" spans="1:6" x14ac:dyDescent="0.2">
      <c r="A6449" t="s">
        <v>5906</v>
      </c>
      <c r="B6449" s="1">
        <v>1065865</v>
      </c>
      <c r="C6449" s="1">
        <v>6282</v>
      </c>
      <c r="D6449" s="2">
        <v>42424</v>
      </c>
      <c r="E6449" s="1" t="s">
        <v>18</v>
      </c>
      <c r="F6449" t="str">
        <f>HYPERLINK("http://www.sec.gov/Archives/edgar/data/1065865/0001047469-16-010380-index.html")</f>
        <v>http://www.sec.gov/Archives/edgar/data/1065865/0001047469-16-010380-index.html</v>
      </c>
    </row>
    <row r="6450" spans="1:6" x14ac:dyDescent="0.2">
      <c r="A6450" t="s">
        <v>5907</v>
      </c>
      <c r="B6450" s="1">
        <v>1067063</v>
      </c>
      <c r="C6450" s="1">
        <v>6798</v>
      </c>
      <c r="D6450" s="2">
        <v>42424</v>
      </c>
      <c r="E6450" s="1" t="s">
        <v>18</v>
      </c>
      <c r="F6450" t="str">
        <f>HYPERLINK("http://www.sec.gov/Archives/edgar/data/1067063/0001067063-16-000018-index.html")</f>
        <v>http://www.sec.gov/Archives/edgar/data/1067063/0001067063-16-000018-index.html</v>
      </c>
    </row>
    <row r="6451" spans="1:6" x14ac:dyDescent="0.2">
      <c r="A6451" t="s">
        <v>5908</v>
      </c>
      <c r="B6451" s="1">
        <v>1068875</v>
      </c>
      <c r="C6451" s="1">
        <v>7374</v>
      </c>
      <c r="D6451" s="2">
        <v>42424</v>
      </c>
      <c r="E6451" s="1" t="s">
        <v>18</v>
      </c>
      <c r="F6451" t="str">
        <f>HYPERLINK("http://www.sec.gov/Archives/edgar/data/1068875/0001068875-16-000198-index.html")</f>
        <v>http://www.sec.gov/Archives/edgar/data/1068875/0001068875-16-000198-index.html</v>
      </c>
    </row>
    <row r="6452" spans="1:6" x14ac:dyDescent="0.2">
      <c r="A6452" t="s">
        <v>5909</v>
      </c>
      <c r="B6452" s="1">
        <v>1075415</v>
      </c>
      <c r="C6452" s="1">
        <v>6798</v>
      </c>
      <c r="D6452" s="2">
        <v>42424</v>
      </c>
      <c r="E6452" s="1" t="s">
        <v>18</v>
      </c>
      <c r="F6452" t="str">
        <f>HYPERLINK("http://www.sec.gov/Archives/edgar/data/1075415/0001558370-16-003411-index.html")</f>
        <v>http://www.sec.gov/Archives/edgar/data/1075415/0001558370-16-003411-index.html</v>
      </c>
    </row>
    <row r="6453" spans="1:6" x14ac:dyDescent="0.2">
      <c r="A6453" t="s">
        <v>5910</v>
      </c>
      <c r="B6453" s="1">
        <v>107832</v>
      </c>
      <c r="C6453" s="1">
        <v>4931</v>
      </c>
      <c r="D6453" s="2">
        <v>42424</v>
      </c>
      <c r="E6453" s="1" t="s">
        <v>18</v>
      </c>
      <c r="F6453" t="str">
        <f>HYPERLINK("http://www.sec.gov/Archives/edgar/data/107832/0000352541-16-000076-index.html")</f>
        <v>http://www.sec.gov/Archives/edgar/data/107832/0000352541-16-000076-index.html</v>
      </c>
    </row>
    <row r="6454" spans="1:6" x14ac:dyDescent="0.2">
      <c r="A6454" t="s">
        <v>5911</v>
      </c>
      <c r="B6454" s="1">
        <v>1080014</v>
      </c>
      <c r="C6454" s="1">
        <v>2834</v>
      </c>
      <c r="D6454" s="2">
        <v>42424</v>
      </c>
      <c r="E6454" s="1" t="s">
        <v>18</v>
      </c>
      <c r="F6454" t="str">
        <f>HYPERLINK("http://www.sec.gov/Archives/edgar/data/1080014/0001047469-16-010381-index.html")</f>
        <v>http://www.sec.gov/Archives/edgar/data/1080014/0001047469-16-010381-index.html</v>
      </c>
    </row>
    <row r="6455" spans="1:6" x14ac:dyDescent="0.2">
      <c r="A6455" t="s">
        <v>5912</v>
      </c>
      <c r="B6455" s="1">
        <v>1084961</v>
      </c>
      <c r="C6455" s="1">
        <v>6153</v>
      </c>
      <c r="D6455" s="2">
        <v>42424</v>
      </c>
      <c r="E6455" s="1" t="s">
        <v>18</v>
      </c>
      <c r="F6455" t="str">
        <f>HYPERLINK("http://www.sec.gov/Archives/edgar/data/1084961/0001084961-16-000130-index.html")</f>
        <v>http://www.sec.gov/Archives/edgar/data/1084961/0001084961-16-000130-index.html</v>
      </c>
    </row>
    <row r="6456" spans="1:6" x14ac:dyDescent="0.2">
      <c r="A6456" t="s">
        <v>5913</v>
      </c>
      <c r="B6456" s="1">
        <v>1092699</v>
      </c>
      <c r="C6456" s="1">
        <v>7372</v>
      </c>
      <c r="D6456" s="2">
        <v>42424</v>
      </c>
      <c r="E6456" s="1" t="s">
        <v>18</v>
      </c>
      <c r="F6456" t="str">
        <f>HYPERLINK("http://www.sec.gov/Archives/edgar/data/1092699/0001193125-16-476036-index.html")</f>
        <v>http://www.sec.gov/Archives/edgar/data/1092699/0001193125-16-476036-index.html</v>
      </c>
    </row>
    <row r="6457" spans="1:6" x14ac:dyDescent="0.2">
      <c r="A6457" t="s">
        <v>5914</v>
      </c>
      <c r="B6457" s="1">
        <v>1097864</v>
      </c>
      <c r="C6457" s="1">
        <v>3674</v>
      </c>
      <c r="D6457" s="2">
        <v>42424</v>
      </c>
      <c r="E6457" s="1" t="s">
        <v>18</v>
      </c>
      <c r="F6457" t="str">
        <f>HYPERLINK("http://www.sec.gov/Archives/edgar/data/1097864/0001193125-16-475009-index.html")</f>
        <v>http://www.sec.gov/Archives/edgar/data/1097864/0001193125-16-475009-index.html</v>
      </c>
    </row>
    <row r="6458" spans="1:6" x14ac:dyDescent="0.2">
      <c r="A6458" t="s">
        <v>5915</v>
      </c>
      <c r="B6458" s="1">
        <v>110019</v>
      </c>
      <c r="C6458" s="1">
        <v>4922</v>
      </c>
      <c r="D6458" s="2">
        <v>42424</v>
      </c>
      <c r="E6458" s="1" t="s">
        <v>18</v>
      </c>
      <c r="F6458" t="str">
        <f>HYPERLINK("http://www.sec.gov/Archives/edgar/data/110019/0000110019-16-000016-index.html")</f>
        <v>http://www.sec.gov/Archives/edgar/data/110019/0000110019-16-000016-index.html</v>
      </c>
    </row>
    <row r="6459" spans="1:6" x14ac:dyDescent="0.2">
      <c r="A6459" t="s">
        <v>5916</v>
      </c>
      <c r="B6459" s="1">
        <v>1105184</v>
      </c>
      <c r="C6459" s="1">
        <v>3841</v>
      </c>
      <c r="D6459" s="2">
        <v>42424</v>
      </c>
      <c r="E6459" s="1" t="s">
        <v>18</v>
      </c>
      <c r="F6459" t="str">
        <f>HYPERLINK("http://www.sec.gov/Archives/edgar/data/1105184/0001105184-16-000042-index.html")</f>
        <v>http://www.sec.gov/Archives/edgar/data/1105184/0001105184-16-000042-index.html</v>
      </c>
    </row>
    <row r="6460" spans="1:6" x14ac:dyDescent="0.2">
      <c r="A6460" t="s">
        <v>5917</v>
      </c>
      <c r="B6460" s="1">
        <v>1107421</v>
      </c>
      <c r="C6460" s="1">
        <v>8093</v>
      </c>
      <c r="D6460" s="2">
        <v>42424</v>
      </c>
      <c r="E6460" s="1" t="s">
        <v>18</v>
      </c>
      <c r="F6460" t="str">
        <f>HYPERLINK("http://www.sec.gov/Archives/edgar/data/1107421/0001193125-16-475875-index.html")</f>
        <v>http://www.sec.gov/Archives/edgar/data/1107421/0001193125-16-475875-index.html</v>
      </c>
    </row>
    <row r="6461" spans="1:6" x14ac:dyDescent="0.2">
      <c r="A6461" t="s">
        <v>5918</v>
      </c>
      <c r="B6461" s="1">
        <v>1108827</v>
      </c>
      <c r="C6461" s="1">
        <v>1311</v>
      </c>
      <c r="D6461" s="2">
        <v>42424</v>
      </c>
      <c r="E6461" s="1" t="s">
        <v>18</v>
      </c>
      <c r="F6461" t="str">
        <f>HYPERLINK("http://www.sec.gov/Archives/edgar/data/1108827/0001108827-16-000057-index.html")</f>
        <v>http://www.sec.gov/Archives/edgar/data/1108827/0001108827-16-000057-index.html</v>
      </c>
    </row>
    <row r="6462" spans="1:6" x14ac:dyDescent="0.2">
      <c r="A6462" t="s">
        <v>5919</v>
      </c>
      <c r="B6462" s="1">
        <v>1117106</v>
      </c>
      <c r="C6462" s="1">
        <v>7372</v>
      </c>
      <c r="D6462" s="2">
        <v>42424</v>
      </c>
      <c r="E6462" s="1" t="s">
        <v>18</v>
      </c>
      <c r="F6462" t="str">
        <f>HYPERLINK("http://www.sec.gov/Archives/edgar/data/1117106/0001117106-16-000050-index.html")</f>
        <v>http://www.sec.gov/Archives/edgar/data/1117106/0001117106-16-000050-index.html</v>
      </c>
    </row>
    <row r="6463" spans="1:6" x14ac:dyDescent="0.2">
      <c r="A6463" t="s">
        <v>5920</v>
      </c>
      <c r="B6463" s="1">
        <v>1123596</v>
      </c>
      <c r="C6463" s="1">
        <v>2050</v>
      </c>
      <c r="D6463" s="2">
        <v>42424</v>
      </c>
      <c r="E6463" s="1" t="s">
        <v>18</v>
      </c>
      <c r="F6463" t="str">
        <f>HYPERLINK("http://www.sec.gov/Archives/edgar/data/1123596/0001437749-16-025934-index.html")</f>
        <v>http://www.sec.gov/Archives/edgar/data/1123596/0001437749-16-025934-index.html</v>
      </c>
    </row>
    <row r="6464" spans="1:6" x14ac:dyDescent="0.2">
      <c r="A6464" t="s">
        <v>5921</v>
      </c>
      <c r="B6464" s="1">
        <v>1124140</v>
      </c>
      <c r="C6464" s="1">
        <v>8731</v>
      </c>
      <c r="D6464" s="2">
        <v>42424</v>
      </c>
      <c r="E6464" s="1" t="s">
        <v>18</v>
      </c>
      <c r="F6464" t="str">
        <f>HYPERLINK("http://www.sec.gov/Archives/edgar/data/1124140/0001558370-16-003446-index.html")</f>
        <v>http://www.sec.gov/Archives/edgar/data/1124140/0001558370-16-003446-index.html</v>
      </c>
    </row>
    <row r="6465" spans="1:6" x14ac:dyDescent="0.2">
      <c r="A6465" t="s">
        <v>5922</v>
      </c>
      <c r="B6465" s="1">
        <v>1128928</v>
      </c>
      <c r="C6465" s="1">
        <v>2000</v>
      </c>
      <c r="D6465" s="2">
        <v>42424</v>
      </c>
      <c r="E6465" s="1" t="s">
        <v>18</v>
      </c>
      <c r="F6465" t="str">
        <f>HYPERLINK("http://www.sec.gov/Archives/edgar/data/1128928/0001564590-16-013151-index.html")</f>
        <v>http://www.sec.gov/Archives/edgar/data/1128928/0001564590-16-013151-index.html</v>
      </c>
    </row>
    <row r="6466" spans="1:6" x14ac:dyDescent="0.2">
      <c r="A6466" t="s">
        <v>5923</v>
      </c>
      <c r="B6466" s="1">
        <v>1135152</v>
      </c>
      <c r="C6466" s="1">
        <v>3533</v>
      </c>
      <c r="D6466" s="2">
        <v>42424</v>
      </c>
      <c r="E6466" s="1" t="s">
        <v>18</v>
      </c>
      <c r="F6466" t="str">
        <f>HYPERLINK("http://www.sec.gov/Archives/edgar/data/1135152/0001135152-16-000039-index.html")</f>
        <v>http://www.sec.gov/Archives/edgar/data/1135152/0001135152-16-000039-index.html</v>
      </c>
    </row>
    <row r="6467" spans="1:6" x14ac:dyDescent="0.2">
      <c r="A6467" t="s">
        <v>5924</v>
      </c>
      <c r="B6467" s="1">
        <v>1142750</v>
      </c>
      <c r="C6467" s="1">
        <v>7363</v>
      </c>
      <c r="D6467" s="2">
        <v>42424</v>
      </c>
      <c r="E6467" s="1" t="s">
        <v>18</v>
      </c>
      <c r="F6467" t="str">
        <f>HYPERLINK("http://www.sec.gov/Archives/edgar/data/1142750/0001142750-16-000014-index.html")</f>
        <v>http://www.sec.gov/Archives/edgar/data/1142750/0001142750-16-000014-index.html</v>
      </c>
    </row>
    <row r="6468" spans="1:6" x14ac:dyDescent="0.2">
      <c r="A6468" t="s">
        <v>5925</v>
      </c>
      <c r="B6468" s="1">
        <v>1143068</v>
      </c>
      <c r="C6468" s="1">
        <v>4911</v>
      </c>
      <c r="D6468" s="2">
        <v>42424</v>
      </c>
      <c r="E6468" s="1" t="s">
        <v>18</v>
      </c>
      <c r="F6468" t="str">
        <f>HYPERLINK("http://www.sec.gov/Archives/edgar/data/1143068/0001143068-16-000106-index.html")</f>
        <v>http://www.sec.gov/Archives/edgar/data/1143068/0001143068-16-000106-index.html</v>
      </c>
    </row>
    <row r="6469" spans="1:6" x14ac:dyDescent="0.2">
      <c r="A6469" t="s">
        <v>5926</v>
      </c>
      <c r="B6469" s="1">
        <v>1158324</v>
      </c>
      <c r="C6469" s="1">
        <v>7372</v>
      </c>
      <c r="D6469" s="2">
        <v>42424</v>
      </c>
      <c r="E6469" s="1" t="s">
        <v>18</v>
      </c>
      <c r="F6469" t="str">
        <f>HYPERLINK("http://www.sec.gov/Archives/edgar/data/1158324/0001047469-16-010372-index.html")</f>
        <v>http://www.sec.gov/Archives/edgar/data/1158324/0001047469-16-010372-index.html</v>
      </c>
    </row>
    <row r="6470" spans="1:6" x14ac:dyDescent="0.2">
      <c r="A6470" t="s">
        <v>5927</v>
      </c>
      <c r="B6470" s="1">
        <v>1195734</v>
      </c>
      <c r="C6470" s="1">
        <v>5812</v>
      </c>
      <c r="D6470" s="2">
        <v>42424</v>
      </c>
      <c r="E6470" s="1" t="s">
        <v>18</v>
      </c>
      <c r="F6470" t="str">
        <f>HYPERLINK("http://www.sec.gov/Archives/edgar/data/1195734/0001564590-16-013212-index.html")</f>
        <v>http://www.sec.gov/Archives/edgar/data/1195734/0001564590-16-013212-index.html</v>
      </c>
    </row>
    <row r="6471" spans="1:6" x14ac:dyDescent="0.2">
      <c r="A6471" t="s">
        <v>5928</v>
      </c>
      <c r="B6471" s="1">
        <v>1262823</v>
      </c>
      <c r="C6471" s="1">
        <v>2860</v>
      </c>
      <c r="D6471" s="2">
        <v>42424</v>
      </c>
      <c r="E6471" s="1" t="s">
        <v>18</v>
      </c>
      <c r="F6471" t="str">
        <f>HYPERLINK("http://www.sec.gov/Archives/edgar/data/1262823/0001262823-16-000030-index.html")</f>
        <v>http://www.sec.gov/Archives/edgar/data/1262823/0001262823-16-000030-index.html</v>
      </c>
    </row>
    <row r="6472" spans="1:6" x14ac:dyDescent="0.2">
      <c r="A6472" t="s">
        <v>5929</v>
      </c>
      <c r="B6472" s="1">
        <v>1265131</v>
      </c>
      <c r="C6472" s="1">
        <v>6022</v>
      </c>
      <c r="D6472" s="2">
        <v>42424</v>
      </c>
      <c r="E6472" s="1" t="s">
        <v>18</v>
      </c>
      <c r="F6472" t="str">
        <f>HYPERLINK("http://www.sec.gov/Archives/edgar/data/1265131/0001558370-16-003454-index.html")</f>
        <v>http://www.sec.gov/Archives/edgar/data/1265131/0001558370-16-003454-index.html</v>
      </c>
    </row>
    <row r="6473" spans="1:6" x14ac:dyDescent="0.2">
      <c r="A6473" t="s">
        <v>5930</v>
      </c>
      <c r="B6473" s="1">
        <v>1274494</v>
      </c>
      <c r="C6473" s="1">
        <v>3674</v>
      </c>
      <c r="D6473" s="2">
        <v>42424</v>
      </c>
      <c r="E6473" s="1" t="s">
        <v>18</v>
      </c>
      <c r="F6473" t="str">
        <f>HYPERLINK("http://www.sec.gov/Archives/edgar/data/1274494/0001274494-16-000067-index.html")</f>
        <v>http://www.sec.gov/Archives/edgar/data/1274494/0001274494-16-000067-index.html</v>
      </c>
    </row>
    <row r="6474" spans="1:6" x14ac:dyDescent="0.2">
      <c r="A6474" t="s">
        <v>5931</v>
      </c>
      <c r="B6474" s="1">
        <v>1280058</v>
      </c>
      <c r="C6474" s="1">
        <v>7372</v>
      </c>
      <c r="D6474" s="2">
        <v>42424</v>
      </c>
      <c r="E6474" s="1" t="s">
        <v>18</v>
      </c>
      <c r="F6474" t="str">
        <f>HYPERLINK("http://www.sec.gov/Archives/edgar/data/1280058/0001280058-16-000045-index.html")</f>
        <v>http://www.sec.gov/Archives/edgar/data/1280058/0001280058-16-000045-index.html</v>
      </c>
    </row>
    <row r="6475" spans="1:6" x14ac:dyDescent="0.2">
      <c r="A6475" t="s">
        <v>5932</v>
      </c>
      <c r="B6475" s="1">
        <v>1283140</v>
      </c>
      <c r="C6475" s="1">
        <v>4610</v>
      </c>
      <c r="D6475" s="2">
        <v>42424</v>
      </c>
      <c r="E6475" s="1" t="s">
        <v>18</v>
      </c>
      <c r="F6475" t="str">
        <f>HYPERLINK("http://www.sec.gov/Archives/edgar/data/1283140/0001283140-16-000083-index.html")</f>
        <v>http://www.sec.gov/Archives/edgar/data/1283140/0001283140-16-000083-index.html</v>
      </c>
    </row>
    <row r="6476" spans="1:6" x14ac:dyDescent="0.2">
      <c r="A6476" t="s">
        <v>5933</v>
      </c>
      <c r="B6476" s="1">
        <v>1287750</v>
      </c>
      <c r="C6476" s="1">
        <v>8200</v>
      </c>
      <c r="D6476" s="2">
        <v>42424</v>
      </c>
      <c r="E6476" s="1" t="s">
        <v>18</v>
      </c>
      <c r="F6476" t="str">
        <f>HYPERLINK("http://www.sec.gov/Archives/edgar/data/1287750/0001047469-16-010353-index.html")</f>
        <v>http://www.sec.gov/Archives/edgar/data/1287750/0001047469-16-010353-index.html</v>
      </c>
    </row>
    <row r="6477" spans="1:6" x14ac:dyDescent="0.2">
      <c r="A6477" t="s">
        <v>5934</v>
      </c>
      <c r="B6477" s="1">
        <v>1294016</v>
      </c>
      <c r="C6477" s="1">
        <v>3577</v>
      </c>
      <c r="D6477" s="2">
        <v>42424</v>
      </c>
      <c r="E6477" s="1" t="s">
        <v>18</v>
      </c>
      <c r="F6477" t="str">
        <f>HYPERLINK("http://www.sec.gov/Archives/edgar/data/1294016/0001294016-16-000049-index.html")</f>
        <v>http://www.sec.gov/Archives/edgar/data/1294016/0001294016-16-000049-index.html</v>
      </c>
    </row>
    <row r="6478" spans="1:6" x14ac:dyDescent="0.2">
      <c r="A6478" t="s">
        <v>5935</v>
      </c>
      <c r="B6478" s="1">
        <v>1314772</v>
      </c>
      <c r="C6478" s="1">
        <v>3990</v>
      </c>
      <c r="D6478" s="2">
        <v>42424</v>
      </c>
      <c r="E6478" s="1" t="s">
        <v>18</v>
      </c>
      <c r="F6478" t="str">
        <f>HYPERLINK("http://www.sec.gov/Archives/edgar/data/1314772/0001047469-16-010378-index.html")</f>
        <v>http://www.sec.gov/Archives/edgar/data/1314772/0001047469-16-010378-index.html</v>
      </c>
    </row>
    <row r="6479" spans="1:6" x14ac:dyDescent="0.2">
      <c r="A6479" t="s">
        <v>5936</v>
      </c>
      <c r="B6479" s="1">
        <v>1318605</v>
      </c>
      <c r="C6479" s="1">
        <v>3711</v>
      </c>
      <c r="D6479" s="2">
        <v>42424</v>
      </c>
      <c r="E6479" s="1" t="s">
        <v>18</v>
      </c>
      <c r="F6479" t="str">
        <f>HYPERLINK("http://www.sec.gov/Archives/edgar/data/1318605/0001564590-16-013195-index.html")</f>
        <v>http://www.sec.gov/Archives/edgar/data/1318605/0001564590-16-013195-index.html</v>
      </c>
    </row>
    <row r="6480" spans="1:6" x14ac:dyDescent="0.2">
      <c r="A6480" t="s">
        <v>5937</v>
      </c>
      <c r="B6480" s="1">
        <v>1321646</v>
      </c>
      <c r="C6480" s="1">
        <v>2821</v>
      </c>
      <c r="D6480" s="2">
        <v>42424</v>
      </c>
      <c r="E6480" s="1" t="s">
        <v>18</v>
      </c>
      <c r="F6480" t="str">
        <f>HYPERLINK("http://www.sec.gov/Archives/edgar/data/1321646/0001321646-16-000168-index.html")</f>
        <v>http://www.sec.gov/Archives/edgar/data/1321646/0001321646-16-000168-index.html</v>
      </c>
    </row>
    <row r="6481" spans="1:6" x14ac:dyDescent="0.2">
      <c r="A6481" t="s">
        <v>5938</v>
      </c>
      <c r="B6481" s="1">
        <v>1345016</v>
      </c>
      <c r="C6481" s="1">
        <v>7200</v>
      </c>
      <c r="D6481" s="2">
        <v>42424</v>
      </c>
      <c r="E6481" s="1" t="s">
        <v>18</v>
      </c>
      <c r="F6481" t="str">
        <f>HYPERLINK("http://www.sec.gov/Archives/edgar/data/1345016/0001206774-16-004640-index.html")</f>
        <v>http://www.sec.gov/Archives/edgar/data/1345016/0001206774-16-004640-index.html</v>
      </c>
    </row>
    <row r="6482" spans="1:6" x14ac:dyDescent="0.2">
      <c r="A6482" t="s">
        <v>5939</v>
      </c>
      <c r="B6482" s="1">
        <v>1355001</v>
      </c>
      <c r="C6482" s="1">
        <v>6531</v>
      </c>
      <c r="D6482" s="2">
        <v>42424</v>
      </c>
      <c r="E6482" s="1" t="s">
        <v>18</v>
      </c>
      <c r="F6482" t="str">
        <f>HYPERLINK("http://www.sec.gov/Archives/edgar/data/1355001/0001398987-16-000164-index.html")</f>
        <v>http://www.sec.gov/Archives/edgar/data/1355001/0001398987-16-000164-index.html</v>
      </c>
    </row>
    <row r="6483" spans="1:6" x14ac:dyDescent="0.2">
      <c r="A6483" t="s">
        <v>5940</v>
      </c>
      <c r="B6483" s="1">
        <v>1360901</v>
      </c>
      <c r="C6483" s="1">
        <v>6282</v>
      </c>
      <c r="D6483" s="2">
        <v>42424</v>
      </c>
      <c r="E6483" s="1" t="s">
        <v>18</v>
      </c>
      <c r="F6483" t="str">
        <f>HYPERLINK("http://www.sec.gov/Archives/edgar/data/1360901/0001360901-16-000017-index.html")</f>
        <v>http://www.sec.gov/Archives/edgar/data/1360901/0001360901-16-000017-index.html</v>
      </c>
    </row>
    <row r="6484" spans="1:6" x14ac:dyDescent="0.2">
      <c r="A6484" t="s">
        <v>5941</v>
      </c>
      <c r="B6484" s="1">
        <v>1379785</v>
      </c>
      <c r="C6484" s="1">
        <v>8731</v>
      </c>
      <c r="D6484" s="2">
        <v>42424</v>
      </c>
      <c r="E6484" s="1" t="s">
        <v>18</v>
      </c>
      <c r="F6484" t="str">
        <f>HYPERLINK("http://www.sec.gov/Archives/edgar/data/1379785/0001379785-16-000105-index.html")</f>
        <v>http://www.sec.gov/Archives/edgar/data/1379785/0001379785-16-000105-index.html</v>
      </c>
    </row>
    <row r="6485" spans="1:6" x14ac:dyDescent="0.2">
      <c r="A6485" t="s">
        <v>5942</v>
      </c>
      <c r="B6485" s="1">
        <v>1385280</v>
      </c>
      <c r="C6485" s="1">
        <v>7830</v>
      </c>
      <c r="D6485" s="2">
        <v>42424</v>
      </c>
      <c r="E6485" s="1" t="s">
        <v>18</v>
      </c>
      <c r="F6485" t="str">
        <f>HYPERLINK("http://www.sec.gov/Archives/edgar/data/1385280/0001193125-16-474577-index.html")</f>
        <v>http://www.sec.gov/Archives/edgar/data/1385280/0001193125-16-474577-index.html</v>
      </c>
    </row>
    <row r="6486" spans="1:6" x14ac:dyDescent="0.2">
      <c r="A6486" t="s">
        <v>5943</v>
      </c>
      <c r="B6486" s="1">
        <v>1393612</v>
      </c>
      <c r="C6486" s="1">
        <v>6141</v>
      </c>
      <c r="D6486" s="2">
        <v>42424</v>
      </c>
      <c r="E6486" s="1" t="s">
        <v>18</v>
      </c>
      <c r="F6486" t="str">
        <f>HYPERLINK("http://www.sec.gov/Archives/edgar/data/1393612/0001393612-16-000059-index.html")</f>
        <v>http://www.sec.gov/Archives/edgar/data/1393612/0001393612-16-000059-index.html</v>
      </c>
    </row>
    <row r="6487" spans="1:6" x14ac:dyDescent="0.2">
      <c r="A6487" t="s">
        <v>5944</v>
      </c>
      <c r="B6487" s="1">
        <v>1398987</v>
      </c>
      <c r="C6487" s="1">
        <v>6531</v>
      </c>
      <c r="D6487" s="2">
        <v>42424</v>
      </c>
      <c r="E6487" s="1" t="s">
        <v>18</v>
      </c>
      <c r="F6487" t="str">
        <f>HYPERLINK("http://www.sec.gov/Archives/edgar/data/1398987/0001398987-16-000164-index.html")</f>
        <v>http://www.sec.gov/Archives/edgar/data/1398987/0001398987-16-000164-index.html</v>
      </c>
    </row>
    <row r="6488" spans="1:6" x14ac:dyDescent="0.2">
      <c r="A6488" t="s">
        <v>5945</v>
      </c>
      <c r="B6488" s="1">
        <v>1404655</v>
      </c>
      <c r="C6488" s="1">
        <v>7372</v>
      </c>
      <c r="D6488" s="2">
        <v>42424</v>
      </c>
      <c r="E6488" s="1" t="s">
        <v>18</v>
      </c>
      <c r="F6488" t="str">
        <f>HYPERLINK("http://www.sec.gov/Archives/edgar/data/1404655/0001564590-16-013204-index.html")</f>
        <v>http://www.sec.gov/Archives/edgar/data/1404655/0001564590-16-013204-index.html</v>
      </c>
    </row>
    <row r="6489" spans="1:6" x14ac:dyDescent="0.2">
      <c r="A6489" t="s">
        <v>5946</v>
      </c>
      <c r="B6489" s="1">
        <v>1407623</v>
      </c>
      <c r="C6489" s="1">
        <v>6798</v>
      </c>
      <c r="D6489" s="2">
        <v>42424</v>
      </c>
      <c r="E6489" s="1" t="s">
        <v>18</v>
      </c>
      <c r="F6489" t="str">
        <f>HYPERLINK("http://www.sec.gov/Archives/edgar/data/1407623/0001171843-16-008096-index.html")</f>
        <v>http://www.sec.gov/Archives/edgar/data/1407623/0001171843-16-008096-index.html</v>
      </c>
    </row>
    <row r="6490" spans="1:6" x14ac:dyDescent="0.2">
      <c r="A6490" t="s">
        <v>5947</v>
      </c>
      <c r="B6490" s="1">
        <v>1415020</v>
      </c>
      <c r="C6490" s="1">
        <v>1000</v>
      </c>
      <c r="D6490" s="2">
        <v>42424</v>
      </c>
      <c r="E6490" s="1" t="s">
        <v>18</v>
      </c>
      <c r="F6490" t="str">
        <f>HYPERLINK("http://www.sec.gov/Archives/edgar/data/1415020/0001415020-16-000138-index.html")</f>
        <v>http://www.sec.gov/Archives/edgar/data/1415020/0001415020-16-000138-index.html</v>
      </c>
    </row>
    <row r="6491" spans="1:6" x14ac:dyDescent="0.2">
      <c r="A6491" t="s">
        <v>5948</v>
      </c>
      <c r="B6491" s="1">
        <v>1415404</v>
      </c>
      <c r="C6491" s="1">
        <v>3663</v>
      </c>
      <c r="D6491" s="2">
        <v>42424</v>
      </c>
      <c r="E6491" s="1" t="s">
        <v>18</v>
      </c>
      <c r="F6491" t="str">
        <f>HYPERLINK("http://www.sec.gov/Archives/edgar/data/1415404/0001104659-16-099355-index.html")</f>
        <v>http://www.sec.gov/Archives/edgar/data/1415404/0001104659-16-099355-index.html</v>
      </c>
    </row>
    <row r="6492" spans="1:6" x14ac:dyDescent="0.2">
      <c r="A6492" t="s">
        <v>5949</v>
      </c>
      <c r="B6492" s="1">
        <v>1418076</v>
      </c>
      <c r="C6492" s="1">
        <v>2834</v>
      </c>
      <c r="D6492" s="2">
        <v>42424</v>
      </c>
      <c r="E6492" s="1" t="s">
        <v>18</v>
      </c>
      <c r="F6492" t="str">
        <f>HYPERLINK("http://www.sec.gov/Archives/edgar/data/1418076/0001193125-16-475766-index.html")</f>
        <v>http://www.sec.gov/Archives/edgar/data/1418076/0001193125-16-475766-index.html</v>
      </c>
    </row>
    <row r="6493" spans="1:6" x14ac:dyDescent="0.2">
      <c r="A6493" t="s">
        <v>5950</v>
      </c>
      <c r="B6493" s="1">
        <v>1419521</v>
      </c>
      <c r="C6493" s="1">
        <v>6798</v>
      </c>
      <c r="D6493" s="2">
        <v>42424</v>
      </c>
      <c r="E6493" s="1" t="s">
        <v>18</v>
      </c>
      <c r="F6493" t="str">
        <f>HYPERLINK("http://www.sec.gov/Archives/edgar/data/1419521/0001564590-16-013185-index.html")</f>
        <v>http://www.sec.gov/Archives/edgar/data/1419521/0001564590-16-013185-index.html</v>
      </c>
    </row>
    <row r="6494" spans="1:6" x14ac:dyDescent="0.2">
      <c r="A6494" t="s">
        <v>5951</v>
      </c>
      <c r="B6494" s="1">
        <v>1430723</v>
      </c>
      <c r="C6494" s="1">
        <v>6022</v>
      </c>
      <c r="D6494" s="2">
        <v>42424</v>
      </c>
      <c r="E6494" s="1" t="s">
        <v>18</v>
      </c>
      <c r="F6494" t="str">
        <f>HYPERLINK("http://www.sec.gov/Archives/edgar/data/1430723/0001144204-16-084092-index.html")</f>
        <v>http://www.sec.gov/Archives/edgar/data/1430723/0001144204-16-084092-index.html</v>
      </c>
    </row>
    <row r="6495" spans="1:6" x14ac:dyDescent="0.2">
      <c r="A6495" t="s">
        <v>5952</v>
      </c>
      <c r="B6495" s="1">
        <v>1433270</v>
      </c>
      <c r="C6495" s="1">
        <v>1311</v>
      </c>
      <c r="D6495" s="2">
        <v>42424</v>
      </c>
      <c r="E6495" s="1" t="s">
        <v>18</v>
      </c>
      <c r="F6495" t="str">
        <f>HYPERLINK("http://www.sec.gov/Archives/edgar/data/1433270/0001558370-16-003450-index.html")</f>
        <v>http://www.sec.gov/Archives/edgar/data/1433270/0001558370-16-003450-index.html</v>
      </c>
    </row>
    <row r="6496" spans="1:6" x14ac:dyDescent="0.2">
      <c r="A6496" t="s">
        <v>5953</v>
      </c>
      <c r="B6496" s="1">
        <v>1434729</v>
      </c>
      <c r="C6496" s="1">
        <v>5940</v>
      </c>
      <c r="D6496" s="2">
        <v>42424</v>
      </c>
      <c r="E6496" s="1" t="s">
        <v>18</v>
      </c>
      <c r="F6496" t="str">
        <f>HYPERLINK("http://www.sec.gov/Archives/edgar/data/1434729/0001434729-16-000024-index.html")</f>
        <v>http://www.sec.gov/Archives/edgar/data/1434729/0001434729-16-000024-index.html</v>
      </c>
    </row>
    <row r="6497" spans="1:6" x14ac:dyDescent="0.2">
      <c r="A6497" t="s">
        <v>5954</v>
      </c>
      <c r="B6497" s="1">
        <v>1438133</v>
      </c>
      <c r="C6497" s="1">
        <v>3841</v>
      </c>
      <c r="D6497" s="2">
        <v>42424</v>
      </c>
      <c r="E6497" s="1" t="s">
        <v>18</v>
      </c>
      <c r="F6497" t="str">
        <f>HYPERLINK("http://www.sec.gov/Archives/edgar/data/1438133/0001564590-16-013192-index.html")</f>
        <v>http://www.sec.gov/Archives/edgar/data/1438133/0001564590-16-013192-index.html</v>
      </c>
    </row>
    <row r="6498" spans="1:6" x14ac:dyDescent="0.2">
      <c r="A6498" t="s">
        <v>5955</v>
      </c>
      <c r="B6498" s="1">
        <v>1439095</v>
      </c>
      <c r="C6498" s="1">
        <v>5084</v>
      </c>
      <c r="D6498" s="2">
        <v>42424</v>
      </c>
      <c r="E6498" s="1" t="s">
        <v>18</v>
      </c>
      <c r="F6498" t="str">
        <f>HYPERLINK("http://www.sec.gov/Archives/edgar/data/1439095/0001439095-16-000041-index.html")</f>
        <v>http://www.sec.gov/Archives/edgar/data/1439095/0001439095-16-000041-index.html</v>
      </c>
    </row>
    <row r="6499" spans="1:6" x14ac:dyDescent="0.2">
      <c r="A6499" t="s">
        <v>5956</v>
      </c>
      <c r="B6499" s="1">
        <v>1442145</v>
      </c>
      <c r="C6499" s="1">
        <v>7374</v>
      </c>
      <c r="D6499" s="2">
        <v>42424</v>
      </c>
      <c r="E6499" s="1" t="s">
        <v>18</v>
      </c>
      <c r="F6499" t="str">
        <f>HYPERLINK("http://www.sec.gov/Archives/edgar/data/1442145/0001442145-16-000057-index.html")</f>
        <v>http://www.sec.gov/Archives/edgar/data/1442145/0001442145-16-000057-index.html</v>
      </c>
    </row>
    <row r="6500" spans="1:6" x14ac:dyDescent="0.2">
      <c r="A6500" t="s">
        <v>5957</v>
      </c>
      <c r="B6500" s="1">
        <v>1442626</v>
      </c>
      <c r="C6500" s="1">
        <v>6798</v>
      </c>
      <c r="D6500" s="2">
        <v>42424</v>
      </c>
      <c r="E6500" s="1" t="s">
        <v>18</v>
      </c>
      <c r="F6500" t="str">
        <f>HYPERLINK("http://www.sec.gov/Archives/edgar/data/1442626/0001144204-16-084083-index.html")</f>
        <v>http://www.sec.gov/Archives/edgar/data/1442626/0001144204-16-084083-index.html</v>
      </c>
    </row>
    <row r="6501" spans="1:6" x14ac:dyDescent="0.2">
      <c r="A6501" t="s">
        <v>5958</v>
      </c>
      <c r="B6501" s="1">
        <v>1476246</v>
      </c>
      <c r="C6501" s="1">
        <v>7011</v>
      </c>
      <c r="D6501" s="2">
        <v>42424</v>
      </c>
      <c r="E6501" s="1" t="s">
        <v>18</v>
      </c>
      <c r="F6501" t="str">
        <f>HYPERLINK("http://www.sec.gov/Archives/edgar/data/1476246/0001476246-16-000020-index.html")</f>
        <v>http://www.sec.gov/Archives/edgar/data/1476246/0001476246-16-000020-index.html</v>
      </c>
    </row>
    <row r="6502" spans="1:6" x14ac:dyDescent="0.2">
      <c r="A6502" t="s">
        <v>5959</v>
      </c>
      <c r="B6502" s="1">
        <v>1484504</v>
      </c>
      <c r="C6502" s="1">
        <v>7374</v>
      </c>
      <c r="D6502" s="2">
        <v>42424</v>
      </c>
      <c r="E6502" s="1" t="s">
        <v>18</v>
      </c>
      <c r="F6502" t="str">
        <f>HYPERLINK("http://www.sec.gov/Archives/edgar/data/1484504/0001484504-16-000076-index.html")</f>
        <v>http://www.sec.gov/Archives/edgar/data/1484504/0001484504-16-000076-index.html</v>
      </c>
    </row>
    <row r="6503" spans="1:6" x14ac:dyDescent="0.2">
      <c r="A6503" t="s">
        <v>5960</v>
      </c>
      <c r="B6503" s="1">
        <v>1486957</v>
      </c>
      <c r="C6503" s="1">
        <v>3510</v>
      </c>
      <c r="D6503" s="2">
        <v>42424</v>
      </c>
      <c r="E6503" s="1" t="s">
        <v>18</v>
      </c>
      <c r="F6503" t="str">
        <f>HYPERLINK("http://www.sec.gov/Archives/edgar/data/1486957/0001193125-16-475979-index.html")</f>
        <v>http://www.sec.gov/Archives/edgar/data/1486957/0001193125-16-475979-index.html</v>
      </c>
    </row>
    <row r="6504" spans="1:6" x14ac:dyDescent="0.2">
      <c r="A6504" t="s">
        <v>5961</v>
      </c>
      <c r="B6504" s="1">
        <v>1497645</v>
      </c>
      <c r="C6504" s="1">
        <v>6798</v>
      </c>
      <c r="D6504" s="2">
        <v>42424</v>
      </c>
      <c r="E6504" s="1" t="s">
        <v>18</v>
      </c>
      <c r="F6504" t="str">
        <f>HYPERLINK("http://www.sec.gov/Archives/edgar/data/1497645/0001104659-16-099595-index.html")</f>
        <v>http://www.sec.gov/Archives/edgar/data/1497645/0001104659-16-099595-index.html</v>
      </c>
    </row>
    <row r="6505" spans="1:6" x14ac:dyDescent="0.2">
      <c r="A6505" t="s">
        <v>5962</v>
      </c>
      <c r="B6505" s="1">
        <v>1507385</v>
      </c>
      <c r="C6505" s="1">
        <v>6798</v>
      </c>
      <c r="D6505" s="2">
        <v>42424</v>
      </c>
      <c r="E6505" s="1" t="s">
        <v>18</v>
      </c>
      <c r="F6505" t="str">
        <f>HYPERLINK("http://www.sec.gov/Archives/edgar/data/1507385/0001507385-16-000097-index.html")</f>
        <v>http://www.sec.gov/Archives/edgar/data/1507385/0001507385-16-000097-index.html</v>
      </c>
    </row>
    <row r="6506" spans="1:6" x14ac:dyDescent="0.2">
      <c r="A6506" t="s">
        <v>5963</v>
      </c>
      <c r="B6506" s="1">
        <v>1508171</v>
      </c>
      <c r="C6506" s="1">
        <v>6770</v>
      </c>
      <c r="D6506" s="2">
        <v>42424</v>
      </c>
      <c r="E6506" s="1" t="s">
        <v>18</v>
      </c>
      <c r="F6506" t="str">
        <f>HYPERLINK("http://www.sec.gov/Archives/edgar/data/1508171/0001193125-16-475776-index.html")</f>
        <v>http://www.sec.gov/Archives/edgar/data/1508171/0001193125-16-475776-index.html</v>
      </c>
    </row>
    <row r="6507" spans="1:6" x14ac:dyDescent="0.2">
      <c r="A6507" t="s">
        <v>5964</v>
      </c>
      <c r="B6507" s="1">
        <v>1508655</v>
      </c>
      <c r="C6507" s="1">
        <v>6770</v>
      </c>
      <c r="D6507" s="2">
        <v>42424</v>
      </c>
      <c r="E6507" s="1" t="s">
        <v>18</v>
      </c>
      <c r="F6507" t="str">
        <f>HYPERLINK("http://www.sec.gov/Archives/edgar/data/1508655/0001564590-16-013201-index.html")</f>
        <v>http://www.sec.gov/Archives/edgar/data/1508655/0001564590-16-013201-index.html</v>
      </c>
    </row>
    <row r="6508" spans="1:6" x14ac:dyDescent="0.2">
      <c r="A6508" t="s">
        <v>5965</v>
      </c>
      <c r="B6508" s="1">
        <v>1516973</v>
      </c>
      <c r="C6508" s="1">
        <v>6798</v>
      </c>
      <c r="D6508" s="2">
        <v>42424</v>
      </c>
      <c r="E6508" s="1" t="s">
        <v>18</v>
      </c>
      <c r="F6508" t="str">
        <f>HYPERLINK("http://www.sec.gov/Archives/edgar/data/1516973/0001516973-16-000057-index.html")</f>
        <v>http://www.sec.gov/Archives/edgar/data/1516973/0001516973-16-000057-index.html</v>
      </c>
    </row>
    <row r="6509" spans="1:6" x14ac:dyDescent="0.2">
      <c r="A6509" t="s">
        <v>5966</v>
      </c>
      <c r="B6509" s="1">
        <v>1521847</v>
      </c>
      <c r="C6509" s="1">
        <v>1311</v>
      </c>
      <c r="D6509" s="2">
        <v>42424</v>
      </c>
      <c r="E6509" s="1" t="s">
        <v>18</v>
      </c>
      <c r="F6509" t="str">
        <f>HYPERLINK("http://www.sec.gov/Archives/edgar/data/1521847/0001564590-16-013218-index.html")</f>
        <v>http://www.sec.gov/Archives/edgar/data/1521847/0001564590-16-013218-index.html</v>
      </c>
    </row>
    <row r="6510" spans="1:6" x14ac:dyDescent="0.2">
      <c r="A6510" t="s">
        <v>5967</v>
      </c>
      <c r="B6510" s="1">
        <v>1524741</v>
      </c>
      <c r="C6510" s="1">
        <v>1400</v>
      </c>
      <c r="D6510" s="2">
        <v>42424</v>
      </c>
      <c r="E6510" s="1" t="s">
        <v>18</v>
      </c>
      <c r="F6510" t="str">
        <f>HYPERLINK("http://www.sec.gov/Archives/edgar/data/1524741/0001628280-16-011647-index.html")</f>
        <v>http://www.sec.gov/Archives/edgar/data/1524741/0001628280-16-011647-index.html</v>
      </c>
    </row>
    <row r="6511" spans="1:6" x14ac:dyDescent="0.2">
      <c r="A6511" t="s">
        <v>5968</v>
      </c>
      <c r="B6511" s="1">
        <v>1527166</v>
      </c>
      <c r="C6511" s="1">
        <v>6282</v>
      </c>
      <c r="D6511" s="2">
        <v>42424</v>
      </c>
      <c r="E6511" s="1" t="s">
        <v>18</v>
      </c>
      <c r="F6511" t="str">
        <f>HYPERLINK("http://www.sec.gov/Archives/edgar/data/1527166/0001527166-16-000018-index.html")</f>
        <v>http://www.sec.gov/Archives/edgar/data/1527166/0001527166-16-000018-index.html</v>
      </c>
    </row>
    <row r="6512" spans="1:6" x14ac:dyDescent="0.2">
      <c r="A6512" t="s">
        <v>5969</v>
      </c>
      <c r="B6512" s="1">
        <v>1528059</v>
      </c>
      <c r="C6512" s="1">
        <v>6798</v>
      </c>
      <c r="D6512" s="2">
        <v>42424</v>
      </c>
      <c r="E6512" s="1" t="s">
        <v>18</v>
      </c>
      <c r="F6512" t="str">
        <f>HYPERLINK("http://www.sec.gov/Archives/edgar/data/1528059/0001507385-16-000097-index.html")</f>
        <v>http://www.sec.gov/Archives/edgar/data/1528059/0001507385-16-000097-index.html</v>
      </c>
    </row>
    <row r="6513" spans="1:6" x14ac:dyDescent="0.2">
      <c r="A6513" t="s">
        <v>5970</v>
      </c>
      <c r="B6513" s="1">
        <v>1533758</v>
      </c>
      <c r="C6513" s="1">
        <v>4899</v>
      </c>
      <c r="D6513" s="2">
        <v>42424</v>
      </c>
      <c r="E6513" s="1" t="s">
        <v>18</v>
      </c>
      <c r="F6513" t="str">
        <f>HYPERLINK("http://www.sec.gov/Archives/edgar/data/1533758/0001104659-16-099382-index.html")</f>
        <v>http://www.sec.gov/Archives/edgar/data/1533758/0001104659-16-099382-index.html</v>
      </c>
    </row>
    <row r="6514" spans="1:6" x14ac:dyDescent="0.2">
      <c r="A6514" t="s">
        <v>5971</v>
      </c>
      <c r="B6514" s="1">
        <v>1534992</v>
      </c>
      <c r="C6514" s="1">
        <v>5812</v>
      </c>
      <c r="D6514" s="2">
        <v>42424</v>
      </c>
      <c r="E6514" s="1" t="s">
        <v>18</v>
      </c>
      <c r="F6514" t="str">
        <f>HYPERLINK("http://www.sec.gov/Archives/edgar/data/1534992/0001534992-16-000043-index.html")</f>
        <v>http://www.sec.gov/Archives/edgar/data/1534992/0001534992-16-000043-index.html</v>
      </c>
    </row>
    <row r="6515" spans="1:6" x14ac:dyDescent="0.2">
      <c r="A6515" t="s">
        <v>5972</v>
      </c>
      <c r="B6515" s="1">
        <v>1546417</v>
      </c>
      <c r="C6515" s="1">
        <v>5812</v>
      </c>
      <c r="D6515" s="2">
        <v>42424</v>
      </c>
      <c r="E6515" s="1" t="s">
        <v>18</v>
      </c>
      <c r="F6515" t="str">
        <f>HYPERLINK("http://www.sec.gov/Archives/edgar/data/1546417/0001546417-16-000109-index.html")</f>
        <v>http://www.sec.gov/Archives/edgar/data/1546417/0001546417-16-000109-index.html</v>
      </c>
    </row>
    <row r="6516" spans="1:6" x14ac:dyDescent="0.2">
      <c r="A6516" t="s">
        <v>5973</v>
      </c>
      <c r="B6516" s="1">
        <v>1549346</v>
      </c>
      <c r="C6516" s="1">
        <v>7374</v>
      </c>
      <c r="D6516" s="2">
        <v>42424</v>
      </c>
      <c r="E6516" s="1" t="s">
        <v>18</v>
      </c>
      <c r="F6516" t="str">
        <f>HYPERLINK("http://www.sec.gov/Archives/edgar/data/1549346/0001549346-16-000024-index.html")</f>
        <v>http://www.sec.gov/Archives/edgar/data/1549346/0001549346-16-000024-index.html</v>
      </c>
    </row>
    <row r="6517" spans="1:6" x14ac:dyDescent="0.2">
      <c r="A6517" t="s">
        <v>5974</v>
      </c>
      <c r="B6517" s="1">
        <v>1551182</v>
      </c>
      <c r="C6517" s="1">
        <v>3590</v>
      </c>
      <c r="D6517" s="2">
        <v>42424</v>
      </c>
      <c r="E6517" s="1" t="s">
        <v>18</v>
      </c>
      <c r="F6517" t="str">
        <f>HYPERLINK("http://www.sec.gov/Archives/edgar/data/1551182/0001551182-16-000041-index.html")</f>
        <v>http://www.sec.gov/Archives/edgar/data/1551182/0001551182-16-000041-index.html</v>
      </c>
    </row>
    <row r="6518" spans="1:6" x14ac:dyDescent="0.2">
      <c r="A6518" t="s">
        <v>5975</v>
      </c>
      <c r="B6518" s="1">
        <v>1555280</v>
      </c>
      <c r="C6518" s="1">
        <v>2834</v>
      </c>
      <c r="D6518" s="2">
        <v>42424</v>
      </c>
      <c r="E6518" s="1" t="s">
        <v>18</v>
      </c>
      <c r="F6518" t="str">
        <f>HYPERLINK("http://www.sec.gov/Archives/edgar/data/1555280/0001555280-16-000344-index.html")</f>
        <v>http://www.sec.gov/Archives/edgar/data/1555280/0001555280-16-000344-index.html</v>
      </c>
    </row>
    <row r="6519" spans="1:6" x14ac:dyDescent="0.2">
      <c r="A6519" t="s">
        <v>5976</v>
      </c>
      <c r="B6519" s="1">
        <v>1577230</v>
      </c>
      <c r="C6519" s="1">
        <v>6798</v>
      </c>
      <c r="D6519" s="2">
        <v>42424</v>
      </c>
      <c r="E6519" s="1" t="s">
        <v>18</v>
      </c>
      <c r="F6519" t="str">
        <f>HYPERLINK("http://www.sec.gov/Archives/edgar/data/1577230/0001171843-16-008096-index.html")</f>
        <v>http://www.sec.gov/Archives/edgar/data/1577230/0001171843-16-008096-index.html</v>
      </c>
    </row>
    <row r="6520" spans="1:6" x14ac:dyDescent="0.2">
      <c r="A6520" t="s">
        <v>5977</v>
      </c>
      <c r="B6520" s="1">
        <v>1598968</v>
      </c>
      <c r="C6520" s="1">
        <v>4922</v>
      </c>
      <c r="D6520" s="2">
        <v>42424</v>
      </c>
      <c r="E6520" s="1" t="s">
        <v>18</v>
      </c>
      <c r="F6520" t="str">
        <f>HYPERLINK("http://www.sec.gov/Archives/edgar/data/1598968/0001558370-16-003451-index.html")</f>
        <v>http://www.sec.gov/Archives/edgar/data/1598968/0001558370-16-003451-index.html</v>
      </c>
    </row>
    <row r="6521" spans="1:6" x14ac:dyDescent="0.2">
      <c r="A6521" t="s">
        <v>5978</v>
      </c>
      <c r="B6521" s="1">
        <v>1599222</v>
      </c>
      <c r="C6521" s="1">
        <v>1311</v>
      </c>
      <c r="D6521" s="2">
        <v>42424</v>
      </c>
      <c r="E6521" s="1" t="s">
        <v>18</v>
      </c>
      <c r="F6521" t="str">
        <f>HYPERLINK("http://www.sec.gov/Archives/edgar/data/1599222/0001564590-16-013220-index.html")</f>
        <v>http://www.sec.gov/Archives/edgar/data/1599222/0001564590-16-013220-index.html</v>
      </c>
    </row>
    <row r="6522" spans="1:6" x14ac:dyDescent="0.2">
      <c r="A6522" t="s">
        <v>5979</v>
      </c>
      <c r="B6522" s="1">
        <v>1607551</v>
      </c>
      <c r="C6522" s="1">
        <v>7371</v>
      </c>
      <c r="D6522" s="2">
        <v>42424</v>
      </c>
      <c r="E6522" s="1" t="s">
        <v>18</v>
      </c>
      <c r="F6522" t="str">
        <f>HYPERLINK("http://www.sec.gov/Archives/edgar/data/1607551/0001144204-16-084011-index.html")</f>
        <v>http://www.sec.gov/Archives/edgar/data/1607551/0001144204-16-084011-index.html</v>
      </c>
    </row>
    <row r="6523" spans="1:6" x14ac:dyDescent="0.2">
      <c r="A6523" t="s">
        <v>5980</v>
      </c>
      <c r="B6523" s="1">
        <v>1630212</v>
      </c>
      <c r="C6523" s="1">
        <v>7372</v>
      </c>
      <c r="D6523" s="2">
        <v>42424</v>
      </c>
      <c r="E6523" s="1" t="s">
        <v>18</v>
      </c>
      <c r="F6523" t="str">
        <f>HYPERLINK("http://www.sec.gov/Archives/edgar/data/1630212/0001558891-16-000191-index.html")</f>
        <v>http://www.sec.gov/Archives/edgar/data/1630212/0001558891-16-000191-index.html</v>
      </c>
    </row>
    <row r="6524" spans="1:6" x14ac:dyDescent="0.2">
      <c r="A6524" t="s">
        <v>5981</v>
      </c>
      <c r="B6524" s="1">
        <v>1639669</v>
      </c>
      <c r="C6524" s="1">
        <v>6770</v>
      </c>
      <c r="D6524" s="2">
        <v>42424</v>
      </c>
      <c r="E6524" s="1" t="s">
        <v>18</v>
      </c>
      <c r="F6524" t="str">
        <f>HYPERLINK("http://www.sec.gov/Archives/edgar/data/1639669/0001144204-16-083980-index.html")</f>
        <v>http://www.sec.gov/Archives/edgar/data/1639669/0001144204-16-083980-index.html</v>
      </c>
    </row>
    <row r="6525" spans="1:6" x14ac:dyDescent="0.2">
      <c r="A6525" t="s">
        <v>5982</v>
      </c>
      <c r="B6525" s="1">
        <v>200406</v>
      </c>
      <c r="C6525" s="1">
        <v>2834</v>
      </c>
      <c r="D6525" s="2">
        <v>42424</v>
      </c>
      <c r="E6525" s="1" t="s">
        <v>18</v>
      </c>
      <c r="F6525" t="str">
        <f>HYPERLINK("http://www.sec.gov/Archives/edgar/data/200406/0000200406-16-000071-index.html")</f>
        <v>http://www.sec.gov/Archives/edgar/data/200406/0000200406-16-000071-index.html</v>
      </c>
    </row>
    <row r="6526" spans="1:6" x14ac:dyDescent="0.2">
      <c r="A6526" t="s">
        <v>5983</v>
      </c>
      <c r="B6526" s="1">
        <v>20212</v>
      </c>
      <c r="C6526" s="1">
        <v>7948</v>
      </c>
      <c r="D6526" s="2">
        <v>42424</v>
      </c>
      <c r="E6526" s="1" t="s">
        <v>18</v>
      </c>
      <c r="F6526" t="str">
        <f>HYPERLINK("http://www.sec.gov/Archives/edgar/data/20212/0000020212-16-000065-index.html")</f>
        <v>http://www.sec.gov/Archives/edgar/data/20212/0000020212-16-000065-index.html</v>
      </c>
    </row>
    <row r="6527" spans="1:6" x14ac:dyDescent="0.2">
      <c r="A6527" t="s">
        <v>5984</v>
      </c>
      <c r="B6527" s="1">
        <v>217346</v>
      </c>
      <c r="C6527" s="1">
        <v>3720</v>
      </c>
      <c r="D6527" s="2">
        <v>42424</v>
      </c>
      <c r="E6527" s="1" t="s">
        <v>18</v>
      </c>
      <c r="F6527" t="str">
        <f>HYPERLINK("http://www.sec.gov/Archives/edgar/data/217346/0001104659-16-099562-index.html")</f>
        <v>http://www.sec.gov/Archives/edgar/data/217346/0001104659-16-099562-index.html</v>
      </c>
    </row>
    <row r="6528" spans="1:6" x14ac:dyDescent="0.2">
      <c r="A6528" t="s">
        <v>5985</v>
      </c>
      <c r="B6528" s="1">
        <v>22356</v>
      </c>
      <c r="C6528" s="1">
        <v>6022</v>
      </c>
      <c r="D6528" s="2">
        <v>42424</v>
      </c>
      <c r="E6528" s="1" t="s">
        <v>18</v>
      </c>
      <c r="F6528" t="str">
        <f>HYPERLINK("http://www.sec.gov/Archives/edgar/data/22356/0000022356-16-000058-index.html")</f>
        <v>http://www.sec.gov/Archives/edgar/data/22356/0000022356-16-000058-index.html</v>
      </c>
    </row>
    <row r="6529" spans="1:6" x14ac:dyDescent="0.2">
      <c r="A6529" t="s">
        <v>5986</v>
      </c>
      <c r="B6529" s="1">
        <v>230557</v>
      </c>
      <c r="C6529" s="1">
        <v>6331</v>
      </c>
      <c r="D6529" s="2">
        <v>42424</v>
      </c>
      <c r="E6529" s="1" t="s">
        <v>18</v>
      </c>
      <c r="F6529" t="str">
        <f>HYPERLINK("http://www.sec.gov/Archives/edgar/data/230557/0000230557-16-000025-index.html")</f>
        <v>http://www.sec.gov/Archives/edgar/data/230557/0000230557-16-000025-index.html</v>
      </c>
    </row>
    <row r="6530" spans="1:6" x14ac:dyDescent="0.2">
      <c r="A6530" t="s">
        <v>5987</v>
      </c>
      <c r="B6530" s="1">
        <v>26058</v>
      </c>
      <c r="C6530" s="1">
        <v>3672</v>
      </c>
      <c r="D6530" s="2">
        <v>42424</v>
      </c>
      <c r="E6530" s="1" t="s">
        <v>18</v>
      </c>
      <c r="F6530" t="str">
        <f>HYPERLINK("http://www.sec.gov/Archives/edgar/data/26058/0000026058-16-000044-index.html")</f>
        <v>http://www.sec.gov/Archives/edgar/data/26058/0000026058-16-000044-index.html</v>
      </c>
    </row>
    <row r="6531" spans="1:6" x14ac:dyDescent="0.2">
      <c r="A6531" t="s">
        <v>3493</v>
      </c>
      <c r="B6531" s="1">
        <v>27430</v>
      </c>
      <c r="C6531" s="1">
        <v>4931</v>
      </c>
      <c r="D6531" s="2">
        <v>42424</v>
      </c>
      <c r="E6531" s="1" t="s">
        <v>18</v>
      </c>
      <c r="F6531" t="str">
        <f>HYPERLINK("http://www.sec.gov/Archives/edgar/data/27430/0000787250-16-000035-index.html")</f>
        <v>http://www.sec.gov/Archives/edgar/data/27430/0000787250-16-000035-index.html</v>
      </c>
    </row>
    <row r="6532" spans="1:6" x14ac:dyDescent="0.2">
      <c r="A6532" t="s">
        <v>5988</v>
      </c>
      <c r="B6532" s="1">
        <v>313616</v>
      </c>
      <c r="C6532" s="1">
        <v>3823</v>
      </c>
      <c r="D6532" s="2">
        <v>42424</v>
      </c>
      <c r="E6532" s="1" t="s">
        <v>18</v>
      </c>
      <c r="F6532" t="str">
        <f>HYPERLINK("http://www.sec.gov/Archives/edgar/data/313616/0000313616-16-000145-index.html")</f>
        <v>http://www.sec.gov/Archives/edgar/data/313616/0000313616-16-000145-index.html</v>
      </c>
    </row>
    <row r="6533" spans="1:6" x14ac:dyDescent="0.2">
      <c r="A6533" t="s">
        <v>5989</v>
      </c>
      <c r="B6533" s="1">
        <v>316709</v>
      </c>
      <c r="C6533" s="1">
        <v>6211</v>
      </c>
      <c r="D6533" s="2">
        <v>42424</v>
      </c>
      <c r="E6533" s="1" t="s">
        <v>18</v>
      </c>
      <c r="F6533" t="str">
        <f>HYPERLINK("http://www.sec.gov/Archives/edgar/data/316709/0000316709-16-000067-index.html")</f>
        <v>http://www.sec.gov/Archives/edgar/data/316709/0000316709-16-000067-index.html</v>
      </c>
    </row>
    <row r="6534" spans="1:6" x14ac:dyDescent="0.2">
      <c r="A6534" t="s">
        <v>5990</v>
      </c>
      <c r="B6534" s="1">
        <v>33185</v>
      </c>
      <c r="C6534" s="1">
        <v>7320</v>
      </c>
      <c r="D6534" s="2">
        <v>42424</v>
      </c>
      <c r="E6534" s="1" t="s">
        <v>18</v>
      </c>
      <c r="F6534" t="str">
        <f>HYPERLINK("http://www.sec.gov/Archives/edgar/data/33185/0000033185-16-000037-index.html")</f>
        <v>http://www.sec.gov/Archives/edgar/data/33185/0000033185-16-000037-index.html</v>
      </c>
    </row>
    <row r="6535" spans="1:6" x14ac:dyDescent="0.2">
      <c r="A6535" t="s">
        <v>5991</v>
      </c>
      <c r="B6535" s="1">
        <v>34088</v>
      </c>
      <c r="C6535" s="1">
        <v>2911</v>
      </c>
      <c r="D6535" s="2">
        <v>42424</v>
      </c>
      <c r="E6535" s="1" t="s">
        <v>18</v>
      </c>
      <c r="F6535" t="str">
        <f>HYPERLINK("http://www.sec.gov/Archives/edgar/data/34088/0000034088-16-000065-index.html")</f>
        <v>http://www.sec.gov/Archives/edgar/data/34088/0000034088-16-000065-index.html</v>
      </c>
    </row>
    <row r="6536" spans="1:6" x14ac:dyDescent="0.2">
      <c r="A6536" t="s">
        <v>5992</v>
      </c>
      <c r="B6536" s="1">
        <v>35214</v>
      </c>
      <c r="C6536" s="1">
        <v>2851</v>
      </c>
      <c r="D6536" s="2">
        <v>42424</v>
      </c>
      <c r="E6536" s="1" t="s">
        <v>18</v>
      </c>
      <c r="F6536" t="str">
        <f>HYPERLINK("http://www.sec.gov/Archives/edgar/data/35214/0001562762-16-000341-index.html")</f>
        <v>http://www.sec.gov/Archives/edgar/data/35214/0001562762-16-000341-index.html</v>
      </c>
    </row>
    <row r="6537" spans="1:6" x14ac:dyDescent="0.2">
      <c r="A6537" t="s">
        <v>5993</v>
      </c>
      <c r="B6537" s="1">
        <v>352541</v>
      </c>
      <c r="C6537" s="1">
        <v>4931</v>
      </c>
      <c r="D6537" s="2">
        <v>42424</v>
      </c>
      <c r="E6537" s="1" t="s">
        <v>18</v>
      </c>
      <c r="F6537" t="str">
        <f>HYPERLINK("http://www.sec.gov/Archives/edgar/data/352541/0000352541-16-000076-index.html")</f>
        <v>http://www.sec.gov/Archives/edgar/data/352541/0000352541-16-000076-index.html</v>
      </c>
    </row>
    <row r="6538" spans="1:6" x14ac:dyDescent="0.2">
      <c r="A6538" t="s">
        <v>5994</v>
      </c>
      <c r="B6538" s="1">
        <v>40211</v>
      </c>
      <c r="C6538" s="1">
        <v>4700</v>
      </c>
      <c r="D6538" s="2">
        <v>42424</v>
      </c>
      <c r="E6538" s="1" t="s">
        <v>18</v>
      </c>
      <c r="F6538" t="str">
        <f>HYPERLINK("http://www.sec.gov/Archives/edgar/data/40211/0000040211-16-000064-index.html")</f>
        <v>http://www.sec.gov/Archives/edgar/data/40211/0000040211-16-000064-index.html</v>
      </c>
    </row>
    <row r="6539" spans="1:6" x14ac:dyDescent="0.2">
      <c r="A6539" t="s">
        <v>5995</v>
      </c>
      <c r="B6539" s="1">
        <v>40729</v>
      </c>
      <c r="C6539" s="1">
        <v>6172</v>
      </c>
      <c r="D6539" s="2">
        <v>42424</v>
      </c>
      <c r="E6539" s="1" t="s">
        <v>18</v>
      </c>
      <c r="F6539" t="str">
        <f>HYPERLINK("http://www.sec.gov/Archives/edgar/data/40729/0000040729-16-000473-index.html")</f>
        <v>http://www.sec.gov/Archives/edgar/data/40729/0000040729-16-000473-index.html</v>
      </c>
    </row>
    <row r="6540" spans="1:6" x14ac:dyDescent="0.2">
      <c r="A6540" t="s">
        <v>5996</v>
      </c>
      <c r="B6540" s="1">
        <v>4515</v>
      </c>
      <c r="C6540" s="1">
        <v>4512</v>
      </c>
      <c r="D6540" s="2">
        <v>42424</v>
      </c>
      <c r="E6540" s="1" t="s">
        <v>18</v>
      </c>
      <c r="F6540" t="str">
        <f>HYPERLINK("http://www.sec.gov/Archives/edgar/data/4515/0001193125-16-474605-index.html")</f>
        <v>http://www.sec.gov/Archives/edgar/data/4515/0001193125-16-474605-index.html</v>
      </c>
    </row>
    <row r="6541" spans="1:6" x14ac:dyDescent="0.2">
      <c r="A6541" t="s">
        <v>5997</v>
      </c>
      <c r="B6541" s="1">
        <v>46080</v>
      </c>
      <c r="C6541" s="1">
        <v>3944</v>
      </c>
      <c r="D6541" s="2">
        <v>42424</v>
      </c>
      <c r="E6541" s="1" t="s">
        <v>18</v>
      </c>
      <c r="F6541" t="str">
        <f>HYPERLINK("http://www.sec.gov/Archives/edgar/data/46080/0001193125-16-475520-index.html")</f>
        <v>http://www.sec.gov/Archives/edgar/data/46080/0001193125-16-475520-index.html</v>
      </c>
    </row>
    <row r="6542" spans="1:6" x14ac:dyDescent="0.2">
      <c r="A6542" t="s">
        <v>5998</v>
      </c>
      <c r="B6542" s="1">
        <v>48039</v>
      </c>
      <c r="C6542" s="1">
        <v>2911</v>
      </c>
      <c r="D6542" s="2">
        <v>42424</v>
      </c>
      <c r="E6542" s="1" t="s">
        <v>18</v>
      </c>
      <c r="F6542" t="str">
        <f>HYPERLINK("http://www.sec.gov/Archives/edgar/data/48039/0000048039-16-000090-index.html")</f>
        <v>http://www.sec.gov/Archives/edgar/data/48039/0000048039-16-000090-index.html</v>
      </c>
    </row>
    <row r="6543" spans="1:6" x14ac:dyDescent="0.2">
      <c r="A6543" t="s">
        <v>5999</v>
      </c>
      <c r="B6543" s="1">
        <v>4904</v>
      </c>
      <c r="C6543" s="1">
        <v>4911</v>
      </c>
      <c r="D6543" s="2">
        <v>42424</v>
      </c>
      <c r="E6543" s="1" t="s">
        <v>18</v>
      </c>
      <c r="F6543" t="str">
        <f>HYPERLINK("http://www.sec.gov/Archives/edgar/data/4904/0000004904-16-000056-index.html")</f>
        <v>http://www.sec.gov/Archives/edgar/data/4904/0000004904-16-000056-index.html</v>
      </c>
    </row>
    <row r="6544" spans="1:6" x14ac:dyDescent="0.2">
      <c r="A6544" t="s">
        <v>6000</v>
      </c>
      <c r="B6544" s="1">
        <v>49754</v>
      </c>
      <c r="C6544" s="1">
        <v>5812</v>
      </c>
      <c r="D6544" s="2">
        <v>42424</v>
      </c>
      <c r="E6544" s="1" t="s">
        <v>18</v>
      </c>
      <c r="F6544" t="str">
        <f>HYPERLINK("http://www.sec.gov/Archives/edgar/data/49754/0000049754-16-000018-index.html")</f>
        <v>http://www.sec.gov/Archives/edgar/data/49754/0000049754-16-000018-index.html</v>
      </c>
    </row>
    <row r="6545" spans="1:6" x14ac:dyDescent="0.2">
      <c r="A6545" t="s">
        <v>6001</v>
      </c>
      <c r="B6545" s="1">
        <v>49938</v>
      </c>
      <c r="C6545" s="1">
        <v>2911</v>
      </c>
      <c r="D6545" s="2">
        <v>42424</v>
      </c>
      <c r="E6545" s="1" t="s">
        <v>18</v>
      </c>
      <c r="F6545" t="str">
        <f>HYPERLINK("http://www.sec.gov/Archives/edgar/data/49938/0001193125-16-475769-index.html")</f>
        <v>http://www.sec.gov/Archives/edgar/data/49938/0001193125-16-475769-index.html</v>
      </c>
    </row>
    <row r="6546" spans="1:6" x14ac:dyDescent="0.2">
      <c r="A6546" t="s">
        <v>6002</v>
      </c>
      <c r="B6546" s="1">
        <v>50172</v>
      </c>
      <c r="C6546" s="1">
        <v>4911</v>
      </c>
      <c r="D6546" s="2">
        <v>42424</v>
      </c>
      <c r="E6546" s="1" t="s">
        <v>18</v>
      </c>
      <c r="F6546" t="str">
        <f>HYPERLINK("http://www.sec.gov/Archives/edgar/data/50172/0000004904-16-000056-index.html")</f>
        <v>http://www.sec.gov/Archives/edgar/data/50172/0000004904-16-000056-index.html</v>
      </c>
    </row>
    <row r="6547" spans="1:6" x14ac:dyDescent="0.2">
      <c r="A6547" t="s">
        <v>6003</v>
      </c>
      <c r="B6547" s="1">
        <v>52485</v>
      </c>
      <c r="C6547" s="1">
        <v>4931</v>
      </c>
      <c r="D6547" s="2">
        <v>42424</v>
      </c>
      <c r="E6547" s="1" t="s">
        <v>18</v>
      </c>
      <c r="F6547" t="str">
        <f>HYPERLINK("http://www.sec.gov/Archives/edgar/data/52485/0000352541-16-000076-index.html")</f>
        <v>http://www.sec.gov/Archives/edgar/data/52485/0000352541-16-000076-index.html</v>
      </c>
    </row>
    <row r="6548" spans="1:6" x14ac:dyDescent="0.2">
      <c r="A6548" t="s">
        <v>6004</v>
      </c>
      <c r="B6548" s="1">
        <v>54476</v>
      </c>
      <c r="C6548" s="1">
        <v>4911</v>
      </c>
      <c r="D6548" s="2">
        <v>42424</v>
      </c>
      <c r="E6548" s="1" t="s">
        <v>18</v>
      </c>
      <c r="F6548" t="str">
        <f>HYPERLINK("http://www.sec.gov/Archives/edgar/data/54476/0001143068-16-000106-index.html")</f>
        <v>http://www.sec.gov/Archives/edgar/data/54476/0001143068-16-000106-index.html</v>
      </c>
    </row>
    <row r="6549" spans="1:6" x14ac:dyDescent="0.2">
      <c r="A6549" t="s">
        <v>6005</v>
      </c>
      <c r="B6549" s="1">
        <v>54507</v>
      </c>
      <c r="C6549" s="1">
        <v>4931</v>
      </c>
      <c r="D6549" s="2">
        <v>42424</v>
      </c>
      <c r="E6549" s="1" t="s">
        <v>18</v>
      </c>
      <c r="F6549" t="str">
        <f>HYPERLINK("http://www.sec.gov/Archives/edgar/data/54507/0000054507-16-000043-index.html")</f>
        <v>http://www.sec.gov/Archives/edgar/data/54507/0000054507-16-000043-index.html</v>
      </c>
    </row>
    <row r="6550" spans="1:6" x14ac:dyDescent="0.2">
      <c r="A6550" t="s">
        <v>6006</v>
      </c>
      <c r="B6550" s="1">
        <v>55067</v>
      </c>
      <c r="C6550" s="1">
        <v>2040</v>
      </c>
      <c r="D6550" s="2">
        <v>42424</v>
      </c>
      <c r="E6550" s="1" t="s">
        <v>18</v>
      </c>
      <c r="F6550" t="str">
        <f>HYPERLINK("http://www.sec.gov/Archives/edgar/data/55067/0001628280-16-011639-index.html")</f>
        <v>http://www.sec.gov/Archives/edgar/data/55067/0001628280-16-011639-index.html</v>
      </c>
    </row>
    <row r="6551" spans="1:6" x14ac:dyDescent="0.2">
      <c r="A6551" t="s">
        <v>6007</v>
      </c>
      <c r="B6551" s="1">
        <v>5513</v>
      </c>
      <c r="C6551" s="1">
        <v>6321</v>
      </c>
      <c r="D6551" s="2">
        <v>42424</v>
      </c>
      <c r="E6551" s="1" t="s">
        <v>18</v>
      </c>
      <c r="F6551" t="str">
        <f>HYPERLINK("http://www.sec.gov/Archives/edgar/data/5513/0000005513-16-000045-index.html")</f>
        <v>http://www.sec.gov/Archives/edgar/data/5513/0000005513-16-000045-index.html</v>
      </c>
    </row>
    <row r="6552" spans="1:6" x14ac:dyDescent="0.2">
      <c r="A6552" t="s">
        <v>6008</v>
      </c>
      <c r="B6552" s="1">
        <v>60519</v>
      </c>
      <c r="C6552" s="1">
        <v>2400</v>
      </c>
      <c r="D6552" s="2">
        <v>42424</v>
      </c>
      <c r="E6552" s="1" t="s">
        <v>18</v>
      </c>
      <c r="F6552" t="str">
        <f>HYPERLINK("http://www.sec.gov/Archives/edgar/data/60519/0001504337-16-000048-index.html")</f>
        <v>http://www.sec.gov/Archives/edgar/data/60519/0001504337-16-000048-index.html</v>
      </c>
    </row>
    <row r="6553" spans="1:6" x14ac:dyDescent="0.2">
      <c r="A6553" t="s">
        <v>6009</v>
      </c>
      <c r="B6553" s="1">
        <v>60977</v>
      </c>
      <c r="C6553" s="1">
        <v>3714</v>
      </c>
      <c r="D6553" s="2">
        <v>42424</v>
      </c>
      <c r="E6553" s="1" t="s">
        <v>18</v>
      </c>
      <c r="F6553" t="str">
        <f>HYPERLINK("http://www.sec.gov/Archives/edgar/data/60977/0001628280-16-011650-index.html")</f>
        <v>http://www.sec.gov/Archives/edgar/data/60977/0001628280-16-011650-index.html</v>
      </c>
    </row>
    <row r="6554" spans="1:6" x14ac:dyDescent="0.2">
      <c r="A6554" t="s">
        <v>6010</v>
      </c>
      <c r="B6554" s="1">
        <v>6201</v>
      </c>
      <c r="C6554" s="1">
        <v>4512</v>
      </c>
      <c r="D6554" s="2">
        <v>42424</v>
      </c>
      <c r="E6554" s="1" t="s">
        <v>18</v>
      </c>
      <c r="F6554" t="str">
        <f>HYPERLINK("http://www.sec.gov/Archives/edgar/data/6201/0001193125-16-474605-index.html")</f>
        <v>http://www.sec.gov/Archives/edgar/data/6201/0001193125-16-474605-index.html</v>
      </c>
    </row>
    <row r="6555" spans="1:6" x14ac:dyDescent="0.2">
      <c r="A6555" t="s">
        <v>6011</v>
      </c>
      <c r="B6555" s="1">
        <v>62709</v>
      </c>
      <c r="C6555" s="1">
        <v>6411</v>
      </c>
      <c r="D6555" s="2">
        <v>42424</v>
      </c>
      <c r="E6555" s="1" t="s">
        <v>18</v>
      </c>
      <c r="F6555" t="str">
        <f>HYPERLINK("http://www.sec.gov/Archives/edgar/data/62709/0000062709-16-000040-index.html")</f>
        <v>http://www.sec.gov/Archives/edgar/data/62709/0000062709-16-000040-index.html</v>
      </c>
    </row>
    <row r="6556" spans="1:6" x14ac:dyDescent="0.2">
      <c r="A6556" t="s">
        <v>6012</v>
      </c>
      <c r="B6556" s="1">
        <v>6879</v>
      </c>
      <c r="C6556" s="1">
        <v>4911</v>
      </c>
      <c r="D6556" s="2">
        <v>42424</v>
      </c>
      <c r="E6556" s="1" t="s">
        <v>18</v>
      </c>
      <c r="F6556" t="str">
        <f>HYPERLINK("http://www.sec.gov/Archives/edgar/data/6879/0000004904-16-000056-index.html")</f>
        <v>http://www.sec.gov/Archives/edgar/data/6879/0000004904-16-000056-index.html</v>
      </c>
    </row>
    <row r="6557" spans="1:6" x14ac:dyDescent="0.2">
      <c r="A6557" t="s">
        <v>6013</v>
      </c>
      <c r="B6557" s="1">
        <v>704532</v>
      </c>
      <c r="C6557" s="1">
        <v>3829</v>
      </c>
      <c r="D6557" s="2">
        <v>42424</v>
      </c>
      <c r="E6557" s="1" t="s">
        <v>18</v>
      </c>
      <c r="F6557" t="str">
        <f>HYPERLINK("http://www.sec.gov/Archives/edgar/data/704532/0001564590-16-013119-index.html")</f>
        <v>http://www.sec.gov/Archives/edgar/data/704532/0001564590-16-013119-index.html</v>
      </c>
    </row>
    <row r="6558" spans="1:6" x14ac:dyDescent="0.2">
      <c r="A6558" t="s">
        <v>6014</v>
      </c>
      <c r="B6558" s="1">
        <v>70858</v>
      </c>
      <c r="C6558" s="1">
        <v>6021</v>
      </c>
      <c r="D6558" s="2">
        <v>42424</v>
      </c>
      <c r="E6558" s="1" t="s">
        <v>18</v>
      </c>
      <c r="F6558" t="str">
        <f>HYPERLINK("http://www.sec.gov/Archives/edgar/data/70858/0000070858-16-000137-index.html")</f>
        <v>http://www.sec.gov/Archives/edgar/data/70858/0000070858-16-000137-index.html</v>
      </c>
    </row>
    <row r="6559" spans="1:6" x14ac:dyDescent="0.2">
      <c r="A6559" t="s">
        <v>6015</v>
      </c>
      <c r="B6559" s="1">
        <v>712034</v>
      </c>
      <c r="C6559" s="1">
        <v>2780</v>
      </c>
      <c r="D6559" s="2">
        <v>42424</v>
      </c>
      <c r="E6559" s="1" t="s">
        <v>18</v>
      </c>
      <c r="F6559" t="str">
        <f>HYPERLINK("http://www.sec.gov/Archives/edgar/data/712034/0000712034-16-000064-index.html")</f>
        <v>http://www.sec.gov/Archives/edgar/data/712034/0000712034-16-000064-index.html</v>
      </c>
    </row>
    <row r="6560" spans="1:6" x14ac:dyDescent="0.2">
      <c r="A6560" t="s">
        <v>6016</v>
      </c>
      <c r="B6560" s="1">
        <v>71691</v>
      </c>
      <c r="C6560" s="1">
        <v>2711</v>
      </c>
      <c r="D6560" s="2">
        <v>42424</v>
      </c>
      <c r="E6560" s="1" t="s">
        <v>18</v>
      </c>
      <c r="F6560" t="str">
        <f>HYPERLINK("http://www.sec.gov/Archives/edgar/data/71691/0000071691-16-000023-index.html")</f>
        <v>http://www.sec.gov/Archives/edgar/data/71691/0000071691-16-000023-index.html</v>
      </c>
    </row>
    <row r="6561" spans="1:6" x14ac:dyDescent="0.2">
      <c r="A6561" t="s">
        <v>6017</v>
      </c>
      <c r="B6561" s="1">
        <v>723612</v>
      </c>
      <c r="C6561" s="1">
        <v>7510</v>
      </c>
      <c r="D6561" s="2">
        <v>42424</v>
      </c>
      <c r="E6561" s="1" t="s">
        <v>18</v>
      </c>
      <c r="F6561" t="str">
        <f>HYPERLINK("http://www.sec.gov/Archives/edgar/data/723612/0000723612-16-000244-index.html")</f>
        <v>http://www.sec.gov/Archives/edgar/data/723612/0000723612-16-000244-index.html</v>
      </c>
    </row>
    <row r="6562" spans="1:6" x14ac:dyDescent="0.2">
      <c r="A6562" t="s">
        <v>6018</v>
      </c>
      <c r="B6562" s="1">
        <v>728391</v>
      </c>
      <c r="C6562" s="1">
        <v>4911</v>
      </c>
      <c r="D6562" s="2">
        <v>42424</v>
      </c>
      <c r="E6562" s="1" t="s">
        <v>18</v>
      </c>
      <c r="F6562" t="str">
        <f>HYPERLINK("http://www.sec.gov/Archives/edgar/data/728391/0000728391-16-000035-index.html")</f>
        <v>http://www.sec.gov/Archives/edgar/data/728391/0000728391-16-000035-index.html</v>
      </c>
    </row>
    <row r="6563" spans="1:6" x14ac:dyDescent="0.2">
      <c r="A6563" t="s">
        <v>6019</v>
      </c>
      <c r="B6563" s="1">
        <v>72971</v>
      </c>
      <c r="C6563" s="1">
        <v>6021</v>
      </c>
      <c r="D6563" s="2">
        <v>42424</v>
      </c>
      <c r="E6563" s="1" t="s">
        <v>18</v>
      </c>
      <c r="F6563" t="str">
        <f>HYPERLINK("http://www.sec.gov/Archives/edgar/data/72971/0000072971-16-001045-index.html")</f>
        <v>http://www.sec.gov/Archives/edgar/data/72971/0000072971-16-001045-index.html</v>
      </c>
    </row>
    <row r="6564" spans="1:6" x14ac:dyDescent="0.2">
      <c r="A6564" t="s">
        <v>6020</v>
      </c>
      <c r="B6564" s="1">
        <v>732834</v>
      </c>
      <c r="C6564" s="1">
        <v>1311</v>
      </c>
      <c r="D6564" s="2">
        <v>42424</v>
      </c>
      <c r="E6564" s="1" t="s">
        <v>18</v>
      </c>
      <c r="F6564" t="str">
        <f>HYPERLINK("http://www.sec.gov/Archives/edgar/data/732834/0000732834-16-000018-index.html")</f>
        <v>http://www.sec.gov/Archives/edgar/data/732834/0000732834-16-000018-index.html</v>
      </c>
    </row>
    <row r="6565" spans="1:6" x14ac:dyDescent="0.2">
      <c r="A6565" t="s">
        <v>6021</v>
      </c>
      <c r="B6565" s="1">
        <v>73986</v>
      </c>
      <c r="C6565" s="1">
        <v>4911</v>
      </c>
      <c r="D6565" s="2">
        <v>42424</v>
      </c>
      <c r="E6565" s="1" t="s">
        <v>18</v>
      </c>
      <c r="F6565" t="str">
        <f>HYPERLINK("http://www.sec.gov/Archives/edgar/data/73986/0000004904-16-000056-index.html")</f>
        <v>http://www.sec.gov/Archives/edgar/data/73986/0000004904-16-000056-index.html</v>
      </c>
    </row>
    <row r="6566" spans="1:6" x14ac:dyDescent="0.2">
      <c r="A6566" t="s">
        <v>6022</v>
      </c>
      <c r="B6566" s="1">
        <v>749251</v>
      </c>
      <c r="C6566" s="1">
        <v>8741</v>
      </c>
      <c r="D6566" s="2">
        <v>42424</v>
      </c>
      <c r="E6566" s="1" t="s">
        <v>18</v>
      </c>
      <c r="F6566" t="str">
        <f>HYPERLINK("http://www.sec.gov/Archives/edgar/data/749251/0000749251-16-000034-index.html")</f>
        <v>http://www.sec.gov/Archives/edgar/data/749251/0000749251-16-000034-index.html</v>
      </c>
    </row>
    <row r="6567" spans="1:6" x14ac:dyDescent="0.2">
      <c r="A6567" t="s">
        <v>6023</v>
      </c>
      <c r="B6567" s="1">
        <v>764038</v>
      </c>
      <c r="C6567" s="1">
        <v>6022</v>
      </c>
      <c r="D6567" s="2">
        <v>42424</v>
      </c>
      <c r="E6567" s="1" t="s">
        <v>18</v>
      </c>
      <c r="F6567" t="str">
        <f>HYPERLINK("http://www.sec.gov/Archives/edgar/data/764038/0001558370-16-003460-index.html")</f>
        <v>http://www.sec.gov/Archives/edgar/data/764038/0001558370-16-003460-index.html</v>
      </c>
    </row>
    <row r="6568" spans="1:6" x14ac:dyDescent="0.2">
      <c r="A6568" t="s">
        <v>6024</v>
      </c>
      <c r="B6568" s="1">
        <v>764065</v>
      </c>
      <c r="C6568" s="1">
        <v>1000</v>
      </c>
      <c r="D6568" s="2">
        <v>42424</v>
      </c>
      <c r="E6568" s="1" t="s">
        <v>18</v>
      </c>
      <c r="F6568" t="str">
        <f>HYPERLINK("http://www.sec.gov/Archives/edgar/data/764065/0000764065-16-000183-index.html")</f>
        <v>http://www.sec.gov/Archives/edgar/data/764065/0000764065-16-000183-index.html</v>
      </c>
    </row>
    <row r="6569" spans="1:6" x14ac:dyDescent="0.2">
      <c r="A6569" t="s">
        <v>3495</v>
      </c>
      <c r="B6569" s="1">
        <v>787250</v>
      </c>
      <c r="C6569" s="1">
        <v>4931</v>
      </c>
      <c r="D6569" s="2">
        <v>42424</v>
      </c>
      <c r="E6569" s="1" t="s">
        <v>18</v>
      </c>
      <c r="F6569" t="str">
        <f>HYPERLINK("http://www.sec.gov/Archives/edgar/data/787250/0000787250-16-000035-index.html")</f>
        <v>http://www.sec.gov/Archives/edgar/data/787250/0000787250-16-000035-index.html</v>
      </c>
    </row>
    <row r="6570" spans="1:6" x14ac:dyDescent="0.2">
      <c r="A6570" t="s">
        <v>6025</v>
      </c>
      <c r="B6570" s="1">
        <v>792966</v>
      </c>
      <c r="C6570" s="1">
        <v>6035</v>
      </c>
      <c r="D6570" s="2">
        <v>42424</v>
      </c>
      <c r="E6570" s="1" t="s">
        <v>18</v>
      </c>
      <c r="F6570" t="str">
        <f>HYPERLINK("http://www.sec.gov/Archives/edgar/data/792966/0001193125-16-474789-index.html")</f>
        <v>http://www.sec.gov/Archives/edgar/data/792966/0001193125-16-474789-index.html</v>
      </c>
    </row>
    <row r="6571" spans="1:6" x14ac:dyDescent="0.2">
      <c r="A6571" t="s">
        <v>6026</v>
      </c>
      <c r="B6571" s="1">
        <v>792977</v>
      </c>
      <c r="C6571" s="1">
        <v>2834</v>
      </c>
      <c r="D6571" s="2">
        <v>42424</v>
      </c>
      <c r="E6571" s="1" t="s">
        <v>18</v>
      </c>
      <c r="F6571" t="str">
        <f>HYPERLINK("http://www.sec.gov/Archives/edgar/data/792977/0001558370-16-003420-index.html")</f>
        <v>http://www.sec.gov/Archives/edgar/data/792977/0001558370-16-003420-index.html</v>
      </c>
    </row>
    <row r="6572" spans="1:6" x14ac:dyDescent="0.2">
      <c r="A6572" t="s">
        <v>6027</v>
      </c>
      <c r="B6572" s="1">
        <v>798941</v>
      </c>
      <c r="C6572" s="1">
        <v>6022</v>
      </c>
      <c r="D6572" s="2">
        <v>42424</v>
      </c>
      <c r="E6572" s="1" t="s">
        <v>18</v>
      </c>
      <c r="F6572" t="str">
        <f>HYPERLINK("http://www.sec.gov/Archives/edgar/data/798941/0000798941-16-000034-index.html")</f>
        <v>http://www.sec.gov/Archives/edgar/data/798941/0000798941-16-000034-index.html</v>
      </c>
    </row>
    <row r="6573" spans="1:6" x14ac:dyDescent="0.2">
      <c r="A6573" t="s">
        <v>6028</v>
      </c>
      <c r="B6573" s="1">
        <v>8063</v>
      </c>
      <c r="C6573" s="1">
        <v>3728</v>
      </c>
      <c r="D6573" s="2">
        <v>42424</v>
      </c>
      <c r="E6573" s="1" t="s">
        <v>18</v>
      </c>
      <c r="F6573" t="str">
        <f>HYPERLINK("http://www.sec.gov/Archives/edgar/data/8063/0001628280-16-011645-index.html")</f>
        <v>http://www.sec.gov/Archives/edgar/data/8063/0001628280-16-011645-index.html</v>
      </c>
    </row>
    <row r="6574" spans="1:6" x14ac:dyDescent="0.2">
      <c r="A6574" t="s">
        <v>6029</v>
      </c>
      <c r="B6574" s="1">
        <v>81027</v>
      </c>
      <c r="C6574" s="1">
        <v>4911</v>
      </c>
      <c r="D6574" s="2">
        <v>42424</v>
      </c>
      <c r="E6574" s="1" t="s">
        <v>18</v>
      </c>
      <c r="F6574" t="str">
        <f>HYPERLINK("http://www.sec.gov/Archives/edgar/data/81027/0000004904-16-000056-index.html")</f>
        <v>http://www.sec.gov/Archives/edgar/data/81027/0000004904-16-000056-index.html</v>
      </c>
    </row>
    <row r="6575" spans="1:6" x14ac:dyDescent="0.2">
      <c r="A6575" t="s">
        <v>3393</v>
      </c>
      <c r="B6575" s="1">
        <v>821130</v>
      </c>
      <c r="C6575" s="1">
        <v>4812</v>
      </c>
      <c r="D6575" s="2">
        <v>42424</v>
      </c>
      <c r="E6575" s="1" t="s">
        <v>18</v>
      </c>
      <c r="F6575" t="str">
        <f>HYPERLINK("http://www.sec.gov/Archives/edgar/data/821130/0000821130-16-000050-index.html")</f>
        <v>http://www.sec.gov/Archives/edgar/data/821130/0000821130-16-000050-index.html</v>
      </c>
    </row>
    <row r="6576" spans="1:6" x14ac:dyDescent="0.2">
      <c r="A6576" t="s">
        <v>6030</v>
      </c>
      <c r="B6576" s="1">
        <v>828916</v>
      </c>
      <c r="C6576" s="1">
        <v>6798</v>
      </c>
      <c r="D6576" s="2">
        <v>42424</v>
      </c>
      <c r="E6576" s="1" t="s">
        <v>18</v>
      </c>
      <c r="F6576" t="str">
        <f>HYPERLINK("http://www.sec.gov/Archives/edgar/data/828916/0000828916-16-000068-index.html")</f>
        <v>http://www.sec.gov/Archives/edgar/data/828916/0000828916-16-000068-index.html</v>
      </c>
    </row>
    <row r="6577" spans="1:6" x14ac:dyDescent="0.2">
      <c r="A6577" t="s">
        <v>6031</v>
      </c>
      <c r="B6577" s="1">
        <v>845698</v>
      </c>
      <c r="C6577" s="1">
        <v>6221</v>
      </c>
      <c r="D6577" s="2">
        <v>42424</v>
      </c>
      <c r="E6577" s="1" t="s">
        <v>18</v>
      </c>
      <c r="F6577" t="str">
        <f>HYPERLINK("http://www.sec.gov/Archives/edgar/data/845698/0001558370-16-003413-index.html")</f>
        <v>http://www.sec.gov/Archives/edgar/data/845698/0001558370-16-003413-index.html</v>
      </c>
    </row>
    <row r="6578" spans="1:6" x14ac:dyDescent="0.2">
      <c r="A6578" t="s">
        <v>6032</v>
      </c>
      <c r="B6578" s="1">
        <v>84839</v>
      </c>
      <c r="C6578" s="1">
        <v>7340</v>
      </c>
      <c r="D6578" s="2">
        <v>42424</v>
      </c>
      <c r="E6578" s="1" t="s">
        <v>18</v>
      </c>
      <c r="F6578" t="str">
        <f>HYPERLINK("http://www.sec.gov/Archives/edgar/data/84839/0001552781-16-001318-index.html")</f>
        <v>http://www.sec.gov/Archives/edgar/data/84839/0001552781-16-001318-index.html</v>
      </c>
    </row>
    <row r="6579" spans="1:6" x14ac:dyDescent="0.2">
      <c r="A6579" t="s">
        <v>6033</v>
      </c>
      <c r="B6579" s="1">
        <v>860731</v>
      </c>
      <c r="C6579" s="1">
        <v>7372</v>
      </c>
      <c r="D6579" s="2">
        <v>42424</v>
      </c>
      <c r="E6579" s="1" t="s">
        <v>18</v>
      </c>
      <c r="F6579" t="str">
        <f>HYPERLINK("http://www.sec.gov/Archives/edgar/data/860731/0001564590-16-013137-index.html")</f>
        <v>http://www.sec.gov/Archives/edgar/data/860731/0001564590-16-013137-index.html</v>
      </c>
    </row>
    <row r="6580" spans="1:6" x14ac:dyDescent="0.2">
      <c r="A6580" t="s">
        <v>6034</v>
      </c>
      <c r="B6580" s="1">
        <v>864749</v>
      </c>
      <c r="C6580" s="1">
        <v>3829</v>
      </c>
      <c r="D6580" s="2">
        <v>42424</v>
      </c>
      <c r="E6580" s="1" t="s">
        <v>18</v>
      </c>
      <c r="F6580" t="str">
        <f>HYPERLINK("http://www.sec.gov/Archives/edgar/data/864749/0000864749-16-000092-index.html")</f>
        <v>http://www.sec.gov/Archives/edgar/data/864749/0000864749-16-000092-index.html</v>
      </c>
    </row>
    <row r="6581" spans="1:6" x14ac:dyDescent="0.2">
      <c r="A6581" t="s">
        <v>6035</v>
      </c>
      <c r="B6581" s="1">
        <v>874761</v>
      </c>
      <c r="C6581" s="1">
        <v>4991</v>
      </c>
      <c r="D6581" s="2">
        <v>42424</v>
      </c>
      <c r="E6581" s="1" t="s">
        <v>18</v>
      </c>
      <c r="F6581" t="str">
        <f>HYPERLINK("http://www.sec.gov/Archives/edgar/data/874761/0000874761-16-000077-index.html")</f>
        <v>http://www.sec.gov/Archives/edgar/data/874761/0000874761-16-000077-index.html</v>
      </c>
    </row>
    <row r="6582" spans="1:6" x14ac:dyDescent="0.2">
      <c r="A6582" t="s">
        <v>6036</v>
      </c>
      <c r="B6582" s="1">
        <v>8818</v>
      </c>
      <c r="C6582" s="1">
        <v>2670</v>
      </c>
      <c r="D6582" s="2">
        <v>42424</v>
      </c>
      <c r="E6582" s="1" t="s">
        <v>18</v>
      </c>
      <c r="F6582" t="str">
        <f>HYPERLINK("http://www.sec.gov/Archives/edgar/data/8818/0001047469-16-010376-index.html")</f>
        <v>http://www.sec.gov/Archives/edgar/data/8818/0001047469-16-010376-index.html</v>
      </c>
    </row>
    <row r="6583" spans="1:6" x14ac:dyDescent="0.2">
      <c r="A6583" t="s">
        <v>6037</v>
      </c>
      <c r="B6583" s="1">
        <v>882095</v>
      </c>
      <c r="C6583" s="1">
        <v>2836</v>
      </c>
      <c r="D6583" s="2">
        <v>42424</v>
      </c>
      <c r="E6583" s="1" t="s">
        <v>18</v>
      </c>
      <c r="F6583" t="str">
        <f>HYPERLINK("http://www.sec.gov/Archives/edgar/data/882095/0000882095-16-000039-index.html")</f>
        <v>http://www.sec.gov/Archives/edgar/data/882095/0000882095-16-000039-index.html</v>
      </c>
    </row>
    <row r="6584" spans="1:6" x14ac:dyDescent="0.2">
      <c r="A6584" t="s">
        <v>6038</v>
      </c>
      <c r="B6584" s="1">
        <v>883237</v>
      </c>
      <c r="C6584" s="1">
        <v>6282</v>
      </c>
      <c r="D6584" s="2">
        <v>42424</v>
      </c>
      <c r="E6584" s="1" t="s">
        <v>18</v>
      </c>
      <c r="F6584" t="str">
        <f>HYPERLINK("http://www.sec.gov/Archives/edgar/data/883237/0001628280-16-011648-index.html")</f>
        <v>http://www.sec.gov/Archives/edgar/data/883237/0001628280-16-011648-index.html</v>
      </c>
    </row>
    <row r="6585" spans="1:6" x14ac:dyDescent="0.2">
      <c r="A6585" t="s">
        <v>6039</v>
      </c>
      <c r="B6585" s="1">
        <v>884905</v>
      </c>
      <c r="C6585" s="1">
        <v>2810</v>
      </c>
      <c r="D6585" s="2">
        <v>42424</v>
      </c>
      <c r="E6585" s="1" t="s">
        <v>18</v>
      </c>
      <c r="F6585" t="str">
        <f>HYPERLINK("http://www.sec.gov/Archives/edgar/data/884905/0000884905-16-000108-index.html")</f>
        <v>http://www.sec.gov/Archives/edgar/data/884905/0000884905-16-000108-index.html</v>
      </c>
    </row>
    <row r="6586" spans="1:6" x14ac:dyDescent="0.2">
      <c r="A6586" t="s">
        <v>6040</v>
      </c>
      <c r="B6586" s="1">
        <v>885725</v>
      </c>
      <c r="C6586" s="1">
        <v>3841</v>
      </c>
      <c r="D6586" s="2">
        <v>42424</v>
      </c>
      <c r="E6586" s="1" t="s">
        <v>18</v>
      </c>
      <c r="F6586" t="str">
        <f>HYPERLINK("http://www.sec.gov/Archives/edgar/data/885725/0000885725-16-000028-index.html")</f>
        <v>http://www.sec.gov/Archives/edgar/data/885725/0000885725-16-000028-index.html</v>
      </c>
    </row>
    <row r="6587" spans="1:6" x14ac:dyDescent="0.2">
      <c r="A6587" t="s">
        <v>6041</v>
      </c>
      <c r="B6587" s="1">
        <v>891166</v>
      </c>
      <c r="C6587" s="1">
        <v>6331</v>
      </c>
      <c r="D6587" s="2">
        <v>42424</v>
      </c>
      <c r="E6587" s="1" t="s">
        <v>18</v>
      </c>
      <c r="F6587" t="str">
        <f>HYPERLINK("http://www.sec.gov/Archives/edgar/data/891166/0001564590-16-013205-index.html")</f>
        <v>http://www.sec.gov/Archives/edgar/data/891166/0001564590-16-013205-index.html</v>
      </c>
    </row>
    <row r="6588" spans="1:6" x14ac:dyDescent="0.2">
      <c r="A6588" t="s">
        <v>6042</v>
      </c>
      <c r="B6588" s="1">
        <v>893538</v>
      </c>
      <c r="C6588" s="1">
        <v>1311</v>
      </c>
      <c r="D6588" s="2">
        <v>42424</v>
      </c>
      <c r="E6588" s="1" t="s">
        <v>18</v>
      </c>
      <c r="F6588" t="str">
        <f>HYPERLINK("http://www.sec.gov/Archives/edgar/data/893538/0000893538-16-000122-index.html")</f>
        <v>http://www.sec.gov/Archives/edgar/data/893538/0000893538-16-000122-index.html</v>
      </c>
    </row>
    <row r="6589" spans="1:6" x14ac:dyDescent="0.2">
      <c r="A6589" t="s">
        <v>6043</v>
      </c>
      <c r="B6589" s="1">
        <v>894315</v>
      </c>
      <c r="C6589" s="1">
        <v>6798</v>
      </c>
      <c r="D6589" s="2">
        <v>42424</v>
      </c>
      <c r="E6589" s="1" t="s">
        <v>18</v>
      </c>
      <c r="F6589" t="str">
        <f>HYPERLINK("http://www.sec.gov/Archives/edgar/data/894315/0001564590-16-013184-index.html")</f>
        <v>http://www.sec.gov/Archives/edgar/data/894315/0001564590-16-013184-index.html</v>
      </c>
    </row>
    <row r="6590" spans="1:6" x14ac:dyDescent="0.2">
      <c r="A6590" t="s">
        <v>6044</v>
      </c>
      <c r="B6590" s="1">
        <v>89439</v>
      </c>
      <c r="C6590" s="1">
        <v>3350</v>
      </c>
      <c r="D6590" s="2">
        <v>42424</v>
      </c>
      <c r="E6590" s="1" t="s">
        <v>18</v>
      </c>
      <c r="F6590" t="str">
        <f>HYPERLINK("http://www.sec.gov/Archives/edgar/data/89439/0000089439-16-000038-index.html")</f>
        <v>http://www.sec.gov/Archives/edgar/data/89439/0000089439-16-000038-index.html</v>
      </c>
    </row>
    <row r="6591" spans="1:6" x14ac:dyDescent="0.2">
      <c r="A6591" t="s">
        <v>6045</v>
      </c>
      <c r="B6591" s="1">
        <v>89800</v>
      </c>
      <c r="C6591" s="1">
        <v>5200</v>
      </c>
      <c r="D6591" s="2">
        <v>42424</v>
      </c>
      <c r="E6591" s="1" t="s">
        <v>18</v>
      </c>
      <c r="F6591" t="str">
        <f>HYPERLINK("http://www.sec.gov/Archives/edgar/data/89800/0000089800-16-000026-index.html")</f>
        <v>http://www.sec.gov/Archives/edgar/data/89800/0000089800-16-000026-index.html</v>
      </c>
    </row>
    <row r="6592" spans="1:6" x14ac:dyDescent="0.2">
      <c r="A6592" t="s">
        <v>6046</v>
      </c>
      <c r="B6592" s="1">
        <v>912750</v>
      </c>
      <c r="C6592" s="1">
        <v>1311</v>
      </c>
      <c r="D6592" s="2">
        <v>42424</v>
      </c>
      <c r="E6592" s="1" t="s">
        <v>18</v>
      </c>
      <c r="F6592" t="str">
        <f>HYPERLINK("http://www.sec.gov/Archives/edgar/data/912750/0000912750-16-000053-index.html")</f>
        <v>http://www.sec.gov/Archives/edgar/data/912750/0000912750-16-000053-index.html</v>
      </c>
    </row>
    <row r="6593" spans="1:6" x14ac:dyDescent="0.2">
      <c r="A6593" t="s">
        <v>6047</v>
      </c>
      <c r="B6593" s="1">
        <v>91576</v>
      </c>
      <c r="C6593" s="1">
        <v>6021</v>
      </c>
      <c r="D6593" s="2">
        <v>42424</v>
      </c>
      <c r="E6593" s="1" t="s">
        <v>18</v>
      </c>
      <c r="F6593" t="str">
        <f>HYPERLINK("http://www.sec.gov/Archives/edgar/data/91576/0001193125-16-475914-index.html")</f>
        <v>http://www.sec.gov/Archives/edgar/data/91576/0001193125-16-475914-index.html</v>
      </c>
    </row>
    <row r="6594" spans="1:6" x14ac:dyDescent="0.2">
      <c r="A6594" t="s">
        <v>6048</v>
      </c>
      <c r="B6594" s="1">
        <v>92116</v>
      </c>
      <c r="C6594" s="1">
        <v>4941</v>
      </c>
      <c r="D6594" s="2">
        <v>42424</v>
      </c>
      <c r="E6594" s="1" t="s">
        <v>18</v>
      </c>
      <c r="F6594" t="str">
        <f>HYPERLINK("http://www.sec.gov/Archives/edgar/data/92116/0001056903-16-000024-index.html")</f>
        <v>http://www.sec.gov/Archives/edgar/data/92116/0001056903-16-000024-index.html</v>
      </c>
    </row>
    <row r="6595" spans="1:6" x14ac:dyDescent="0.2">
      <c r="A6595" t="s">
        <v>6049</v>
      </c>
      <c r="B6595" s="1">
        <v>921582</v>
      </c>
      <c r="C6595" s="1">
        <v>3861</v>
      </c>
      <c r="D6595" s="2">
        <v>42424</v>
      </c>
      <c r="E6595" s="1" t="s">
        <v>18</v>
      </c>
      <c r="F6595" t="str">
        <f>HYPERLINK("http://www.sec.gov/Archives/edgar/data/921582/0001193125-16-475999-index.html")</f>
        <v>http://www.sec.gov/Archives/edgar/data/921582/0001193125-16-475999-index.html</v>
      </c>
    </row>
    <row r="6596" spans="1:6" x14ac:dyDescent="0.2">
      <c r="A6596" t="s">
        <v>6050</v>
      </c>
      <c r="B6596" s="1">
        <v>92487</v>
      </c>
      <c r="C6596" s="1">
        <v>4911</v>
      </c>
      <c r="D6596" s="2">
        <v>42424</v>
      </c>
      <c r="E6596" s="1" t="s">
        <v>18</v>
      </c>
      <c r="F6596" t="str">
        <f>HYPERLINK("http://www.sec.gov/Archives/edgar/data/92487/0000004904-16-000056-index.html")</f>
        <v>http://www.sec.gov/Archives/edgar/data/92487/0000004904-16-000056-index.html</v>
      </c>
    </row>
    <row r="6597" spans="1:6" x14ac:dyDescent="0.2">
      <c r="A6597" t="s">
        <v>6051</v>
      </c>
      <c r="B6597" s="1">
        <v>924901</v>
      </c>
      <c r="C6597" s="1">
        <v>6798</v>
      </c>
      <c r="D6597" s="2">
        <v>42424</v>
      </c>
      <c r="E6597" s="1" t="s">
        <v>18</v>
      </c>
      <c r="F6597" t="str">
        <f>HYPERLINK("http://www.sec.gov/Archives/edgar/data/924901/0000924901-16-000027-index.html")</f>
        <v>http://www.sec.gov/Archives/edgar/data/924901/0000924901-16-000027-index.html</v>
      </c>
    </row>
    <row r="6598" spans="1:6" x14ac:dyDescent="0.2">
      <c r="A6598" t="s">
        <v>6052</v>
      </c>
      <c r="B6598" s="1">
        <v>926282</v>
      </c>
      <c r="C6598" s="1">
        <v>3661</v>
      </c>
      <c r="D6598" s="2">
        <v>42424</v>
      </c>
      <c r="E6598" s="1" t="s">
        <v>18</v>
      </c>
      <c r="F6598" t="str">
        <f>HYPERLINK("http://www.sec.gov/Archives/edgar/data/926282/0001193125-16-475816-index.html")</f>
        <v>http://www.sec.gov/Archives/edgar/data/926282/0001193125-16-475816-index.html</v>
      </c>
    </row>
    <row r="6599" spans="1:6" x14ac:dyDescent="0.2">
      <c r="A6599" t="s">
        <v>6053</v>
      </c>
      <c r="B6599" s="1">
        <v>931584</v>
      </c>
      <c r="C6599" s="1">
        <v>3312</v>
      </c>
      <c r="D6599" s="2">
        <v>42424</v>
      </c>
      <c r="E6599" s="1" t="s">
        <v>18</v>
      </c>
      <c r="F6599" t="str">
        <f>HYPERLINK("http://www.sec.gov/Archives/edgar/data/931584/0000931584-16-000009-index.html")</f>
        <v>http://www.sec.gov/Archives/edgar/data/931584/0000931584-16-000009-index.html</v>
      </c>
    </row>
    <row r="6600" spans="1:6" x14ac:dyDescent="0.2">
      <c r="A6600" t="s">
        <v>6054</v>
      </c>
      <c r="B6600" s="1">
        <v>936468</v>
      </c>
      <c r="C6600" s="1">
        <v>3760</v>
      </c>
      <c r="D6600" s="2">
        <v>42424</v>
      </c>
      <c r="E6600" s="1" t="s">
        <v>18</v>
      </c>
      <c r="F6600" t="str">
        <f>HYPERLINK("http://www.sec.gov/Archives/edgar/data/936468/0001193125-16-476010-index.html")</f>
        <v>http://www.sec.gov/Archives/edgar/data/936468/0001193125-16-476010-index.html</v>
      </c>
    </row>
    <row r="6601" spans="1:6" x14ac:dyDescent="0.2">
      <c r="A6601" t="s">
        <v>6055</v>
      </c>
      <c r="B6601" s="1">
        <v>937556</v>
      </c>
      <c r="C6601" s="1">
        <v>3845</v>
      </c>
      <c r="D6601" s="2">
        <v>42424</v>
      </c>
      <c r="E6601" s="1" t="s">
        <v>18</v>
      </c>
      <c r="F6601" t="str">
        <f>HYPERLINK("http://www.sec.gov/Archives/edgar/data/937556/0000937556-16-000218-index.html")</f>
        <v>http://www.sec.gov/Archives/edgar/data/937556/0000937556-16-000218-index.html</v>
      </c>
    </row>
    <row r="6602" spans="1:6" x14ac:dyDescent="0.2">
      <c r="A6602" t="s">
        <v>6056</v>
      </c>
      <c r="B6602" s="1">
        <v>94049</v>
      </c>
      <c r="C6602" s="1">
        <v>2840</v>
      </c>
      <c r="D6602" s="2">
        <v>42424</v>
      </c>
      <c r="E6602" s="1" t="s">
        <v>18</v>
      </c>
      <c r="F6602" t="str">
        <f>HYPERLINK("http://www.sec.gov/Archives/edgar/data/94049/0001564590-16-013219-index.html")</f>
        <v>http://www.sec.gov/Archives/edgar/data/94049/0001564590-16-013219-index.html</v>
      </c>
    </row>
    <row r="6603" spans="1:6" x14ac:dyDescent="0.2">
      <c r="A6603" t="s">
        <v>6057</v>
      </c>
      <c r="B6603" s="1">
        <v>945394</v>
      </c>
      <c r="C6603" s="1">
        <v>6798</v>
      </c>
      <c r="D6603" s="2">
        <v>42424</v>
      </c>
      <c r="E6603" s="1" t="s">
        <v>18</v>
      </c>
      <c r="F6603" t="str">
        <f>HYPERLINK("http://www.sec.gov/Archives/edgar/data/945394/0001558370-16-003466-index.html")</f>
        <v>http://www.sec.gov/Archives/edgar/data/945394/0001558370-16-003466-index.html</v>
      </c>
    </row>
    <row r="6604" spans="1:6" x14ac:dyDescent="0.2">
      <c r="A6604" t="s">
        <v>6058</v>
      </c>
      <c r="B6604" s="1">
        <v>95029</v>
      </c>
      <c r="C6604" s="1">
        <v>3480</v>
      </c>
      <c r="D6604" s="2">
        <v>42424</v>
      </c>
      <c r="E6604" s="1" t="s">
        <v>18</v>
      </c>
      <c r="F6604" t="str">
        <f>HYPERLINK("http://www.sec.gov/Archives/edgar/data/95029/0001174947-16-002118-index.html")</f>
        <v>http://www.sec.gov/Archives/edgar/data/95029/0001174947-16-002118-index.html</v>
      </c>
    </row>
    <row r="6605" spans="1:6" x14ac:dyDescent="0.2">
      <c r="A6605" t="s">
        <v>6059</v>
      </c>
      <c r="B6605" s="1">
        <v>97476</v>
      </c>
      <c r="C6605" s="1">
        <v>3674</v>
      </c>
      <c r="D6605" s="2">
        <v>42424</v>
      </c>
      <c r="E6605" s="1" t="s">
        <v>18</v>
      </c>
      <c r="F6605" t="str">
        <f>HYPERLINK("http://www.sec.gov/Archives/edgar/data/97476/0001564590-16-013126-index.html")</f>
        <v>http://www.sec.gov/Archives/edgar/data/97476/0001564590-16-013126-index.html</v>
      </c>
    </row>
    <row r="6606" spans="1:6" x14ac:dyDescent="0.2">
      <c r="A6606" t="s">
        <v>6060</v>
      </c>
      <c r="B6606" s="1">
        <v>98362</v>
      </c>
      <c r="C6606" s="1">
        <v>3562</v>
      </c>
      <c r="D6606" s="2">
        <v>42424</v>
      </c>
      <c r="E6606" s="1" t="s">
        <v>18</v>
      </c>
      <c r="F6606" t="str">
        <f>HYPERLINK("http://www.sec.gov/Archives/edgar/data/98362/0000098362-16-000097-index.html")</f>
        <v>http://www.sec.gov/Archives/edgar/data/98362/0000098362-16-000097-index.html</v>
      </c>
    </row>
    <row r="6607" spans="1:6" x14ac:dyDescent="0.2">
      <c r="A6607" t="s">
        <v>6061</v>
      </c>
      <c r="B6607" s="1">
        <v>99250</v>
      </c>
      <c r="C6607" s="1">
        <v>4922</v>
      </c>
      <c r="D6607" s="2">
        <v>42424</v>
      </c>
      <c r="E6607" s="1" t="s">
        <v>18</v>
      </c>
      <c r="F6607" t="str">
        <f>HYPERLINK("http://www.sec.gov/Archives/edgar/data/99250/0000099250-16-000015-index.html")</f>
        <v>http://www.sec.gov/Archives/edgar/data/99250/0000099250-16-000015-index.html</v>
      </c>
    </row>
    <row r="6608" spans="1:6" x14ac:dyDescent="0.2">
      <c r="A6608" t="s">
        <v>6062</v>
      </c>
      <c r="B6608" s="1">
        <v>9984</v>
      </c>
      <c r="C6608" s="1">
        <v>3490</v>
      </c>
      <c r="D6608" s="2">
        <v>42424</v>
      </c>
      <c r="E6608" s="1" t="s">
        <v>18</v>
      </c>
      <c r="F6608" t="str">
        <f>HYPERLINK("http://www.sec.gov/Archives/edgar/data/9984/0000009984-16-000126-index.html")</f>
        <v>http://www.sec.gov/Archives/edgar/data/9984/0000009984-16-000126-index.html</v>
      </c>
    </row>
    <row r="6609" spans="1:6" x14ac:dyDescent="0.2">
      <c r="A6609" t="s">
        <v>5904</v>
      </c>
      <c r="B6609" s="1">
        <v>1051512</v>
      </c>
      <c r="C6609" s="1">
        <v>4813</v>
      </c>
      <c r="D6609" s="2">
        <v>42424</v>
      </c>
      <c r="E6609" s="1" t="s">
        <v>18</v>
      </c>
      <c r="F6609" t="str">
        <f>HYPERLINK("http://www.sec.gov/Archives/edgar/data/1051512/0001051512-16-000077-index.html")</f>
        <v>http://www.sec.gov/Archives/edgar/data/1051512/0001051512-16-000077-index.html</v>
      </c>
    </row>
    <row r="6610" spans="1:6" x14ac:dyDescent="0.2">
      <c r="A6610" t="s">
        <v>3393</v>
      </c>
      <c r="B6610" s="1">
        <v>821130</v>
      </c>
      <c r="C6610" s="1">
        <v>4812</v>
      </c>
      <c r="D6610" s="2">
        <v>42424</v>
      </c>
      <c r="E6610" s="1" t="s">
        <v>18</v>
      </c>
      <c r="F6610" t="str">
        <f>HYPERLINK("http://www.sec.gov/Archives/edgar/data/821130/0000821130-16-000050-index.html")</f>
        <v>http://www.sec.gov/Archives/edgar/data/821130/0000821130-16-000050-index.html</v>
      </c>
    </row>
    <row r="6611" spans="1:6" x14ac:dyDescent="0.2">
      <c r="A6611" t="s">
        <v>6063</v>
      </c>
      <c r="B6611" s="1">
        <v>1004036</v>
      </c>
      <c r="C6611" s="1">
        <v>6798</v>
      </c>
      <c r="D6611" s="2">
        <v>42423</v>
      </c>
      <c r="E6611" s="1" t="s">
        <v>18</v>
      </c>
      <c r="F6611" t="str">
        <f>HYPERLINK("http://www.sec.gov/Archives/edgar/data/1004036/0000899715-16-000265-index.html")</f>
        <v>http://www.sec.gov/Archives/edgar/data/1004036/0000899715-16-000265-index.html</v>
      </c>
    </row>
    <row r="6612" spans="1:6" x14ac:dyDescent="0.2">
      <c r="A6612" t="s">
        <v>6064</v>
      </c>
      <c r="B6612" s="1">
        <v>1013488</v>
      </c>
      <c r="C6612" s="1">
        <v>5812</v>
      </c>
      <c r="D6612" s="2">
        <v>42423</v>
      </c>
      <c r="E6612" s="1" t="s">
        <v>18</v>
      </c>
      <c r="F6612" t="str">
        <f>HYPERLINK("http://www.sec.gov/Archives/edgar/data/1013488/0001193125-16-471871-index.html")</f>
        <v>http://www.sec.gov/Archives/edgar/data/1013488/0001193125-16-471871-index.html</v>
      </c>
    </row>
    <row r="6613" spans="1:6" x14ac:dyDescent="0.2">
      <c r="A6613" t="s">
        <v>6065</v>
      </c>
      <c r="B6613" s="1">
        <v>1016281</v>
      </c>
      <c r="C6613" s="1">
        <v>7200</v>
      </c>
      <c r="D6613" s="2">
        <v>42423</v>
      </c>
      <c r="E6613" s="1" t="s">
        <v>18</v>
      </c>
      <c r="F6613" t="str">
        <f>HYPERLINK("http://www.sec.gov/Archives/edgar/data/1016281/0001016281-16-000161-index.html")</f>
        <v>http://www.sec.gov/Archives/edgar/data/1016281/0001016281-16-000161-index.html</v>
      </c>
    </row>
    <row r="6614" spans="1:6" x14ac:dyDescent="0.2">
      <c r="A6614" t="s">
        <v>6066</v>
      </c>
      <c r="B6614" s="1">
        <v>1018254</v>
      </c>
      <c r="C6614" s="1">
        <v>6798</v>
      </c>
      <c r="D6614" s="2">
        <v>42423</v>
      </c>
      <c r="E6614" s="1" t="s">
        <v>18</v>
      </c>
      <c r="F6614" t="str">
        <f>HYPERLINK("http://www.sec.gov/Archives/edgar/data/1018254/0000074208-16-000140-index.html")</f>
        <v>http://www.sec.gov/Archives/edgar/data/1018254/0000074208-16-000140-index.html</v>
      </c>
    </row>
    <row r="6615" spans="1:6" x14ac:dyDescent="0.2">
      <c r="A6615" t="s">
        <v>6067</v>
      </c>
      <c r="B6615" s="1">
        <v>1023024</v>
      </c>
      <c r="C6615" s="1">
        <v>2834</v>
      </c>
      <c r="D6615" s="2">
        <v>42423</v>
      </c>
      <c r="E6615" s="1" t="s">
        <v>18</v>
      </c>
      <c r="F6615" t="str">
        <f>HYPERLINK("http://www.sec.gov/Archives/edgar/data/1023024/0001144204-16-083848-index.html")</f>
        <v>http://www.sec.gov/Archives/edgar/data/1023024/0001144204-16-083848-index.html</v>
      </c>
    </row>
    <row r="6616" spans="1:6" x14ac:dyDescent="0.2">
      <c r="A6616" t="s">
        <v>6068</v>
      </c>
      <c r="B6616" s="1">
        <v>1035983</v>
      </c>
      <c r="C6616" s="1">
        <v>1731</v>
      </c>
      <c r="D6616" s="2">
        <v>42423</v>
      </c>
      <c r="E6616" s="1" t="s">
        <v>18</v>
      </c>
      <c r="F6616" t="str">
        <f>HYPERLINK("http://www.sec.gov/Archives/edgar/data/1035983/0001047469-16-010332-index.html")</f>
        <v>http://www.sec.gov/Archives/edgar/data/1035983/0001047469-16-010332-index.html</v>
      </c>
    </row>
    <row r="6617" spans="1:6" x14ac:dyDescent="0.2">
      <c r="A6617" t="s">
        <v>6069</v>
      </c>
      <c r="B6617" s="1">
        <v>1039684</v>
      </c>
      <c r="C6617" s="1">
        <v>4923</v>
      </c>
      <c r="D6617" s="2">
        <v>42423</v>
      </c>
      <c r="E6617" s="1" t="s">
        <v>18</v>
      </c>
      <c r="F6617" t="str">
        <f>HYPERLINK("http://www.sec.gov/Archives/edgar/data/1039684/0001039684-16-000113-index.html")</f>
        <v>http://www.sec.gov/Archives/edgar/data/1039684/0001039684-16-000113-index.html</v>
      </c>
    </row>
    <row r="6618" spans="1:6" x14ac:dyDescent="0.2">
      <c r="A6618" t="s">
        <v>6070</v>
      </c>
      <c r="B6618" s="1">
        <v>1040765</v>
      </c>
      <c r="C6618" s="1">
        <v>6798</v>
      </c>
      <c r="D6618" s="2">
        <v>42423</v>
      </c>
      <c r="E6618" s="1" t="s">
        <v>18</v>
      </c>
      <c r="F6618" t="str">
        <f>HYPERLINK("http://www.sec.gov/Archives/edgar/data/1040765/0001040765-16-000019-index.html")</f>
        <v>http://www.sec.gov/Archives/edgar/data/1040765/0001040765-16-000019-index.html</v>
      </c>
    </row>
    <row r="6619" spans="1:6" x14ac:dyDescent="0.2">
      <c r="A6619" t="s">
        <v>6071</v>
      </c>
      <c r="B6619" s="1">
        <v>1041379</v>
      </c>
      <c r="C6619" s="1">
        <v>5812</v>
      </c>
      <c r="D6619" s="2">
        <v>42423</v>
      </c>
      <c r="E6619" s="1" t="s">
        <v>18</v>
      </c>
      <c r="F6619" t="str">
        <f>HYPERLINK("http://www.sec.gov/Archives/edgar/data/1041379/0001041379-16-000029-index.html")</f>
        <v>http://www.sec.gov/Archives/edgar/data/1041379/0001041379-16-000029-index.html</v>
      </c>
    </row>
    <row r="6620" spans="1:6" x14ac:dyDescent="0.2">
      <c r="A6620" t="s">
        <v>6072</v>
      </c>
      <c r="B6620" s="1">
        <v>1044435</v>
      </c>
      <c r="C6620" s="1">
        <v>4911</v>
      </c>
      <c r="D6620" s="2">
        <v>42423</v>
      </c>
      <c r="E6620" s="1" t="s">
        <v>18</v>
      </c>
      <c r="F6620" t="str">
        <f>HYPERLINK("http://www.sec.gov/Archives/edgar/data/1044435/0001044435-16-000065-index.html")</f>
        <v>http://www.sec.gov/Archives/edgar/data/1044435/0001044435-16-000065-index.html</v>
      </c>
    </row>
    <row r="6621" spans="1:6" x14ac:dyDescent="0.2">
      <c r="A6621" t="s">
        <v>6073</v>
      </c>
      <c r="B6621" s="1">
        <v>1047340</v>
      </c>
      <c r="C6621" s="1">
        <v>100</v>
      </c>
      <c r="D6621" s="2">
        <v>42423</v>
      </c>
      <c r="E6621" s="1" t="s">
        <v>18</v>
      </c>
      <c r="F6621" t="str">
        <f>HYPERLINK("http://www.sec.gov/Archives/edgar/data/1047340/0001047340-16-000385-index.html")</f>
        <v>http://www.sec.gov/Archives/edgar/data/1047340/0001047340-16-000385-index.html</v>
      </c>
    </row>
    <row r="6622" spans="1:6" x14ac:dyDescent="0.2">
      <c r="A6622" t="s">
        <v>6074</v>
      </c>
      <c r="B6622" s="1">
        <v>1054274</v>
      </c>
      <c r="C6622" s="1">
        <v>3841</v>
      </c>
      <c r="D6622" s="2">
        <v>42423</v>
      </c>
      <c r="E6622" s="1" t="s">
        <v>18</v>
      </c>
      <c r="F6622" t="str">
        <f>HYPERLINK("http://www.sec.gov/Archives/edgar/data/1054274/0001144204-16-083794-index.html")</f>
        <v>http://www.sec.gov/Archives/edgar/data/1054274/0001144204-16-083794-index.html</v>
      </c>
    </row>
    <row r="6623" spans="1:6" x14ac:dyDescent="0.2">
      <c r="A6623" t="s">
        <v>6075</v>
      </c>
      <c r="B6623" s="1">
        <v>1062047</v>
      </c>
      <c r="C6623" s="1">
        <v>7373</v>
      </c>
      <c r="D6623" s="2">
        <v>42423</v>
      </c>
      <c r="E6623" s="1" t="s">
        <v>18</v>
      </c>
      <c r="F6623" t="str">
        <f>HYPERLINK("http://www.sec.gov/Archives/edgar/data/1062047/0001062047-16-000032-index.html")</f>
        <v>http://www.sec.gov/Archives/edgar/data/1062047/0001062047-16-000032-index.html</v>
      </c>
    </row>
    <row r="6624" spans="1:6" x14ac:dyDescent="0.2">
      <c r="A6624" t="s">
        <v>6076</v>
      </c>
      <c r="B6624" s="1">
        <v>1065332</v>
      </c>
      <c r="C6624" s="1">
        <v>7389</v>
      </c>
      <c r="D6624" s="2">
        <v>42423</v>
      </c>
      <c r="E6624" s="1" t="s">
        <v>18</v>
      </c>
      <c r="F6624" t="str">
        <f>HYPERLINK("http://www.sec.gov/Archives/edgar/data/1065332/0001157523-16-004701-index.html")</f>
        <v>http://www.sec.gov/Archives/edgar/data/1065332/0001157523-16-004701-index.html</v>
      </c>
    </row>
    <row r="6625" spans="1:6" x14ac:dyDescent="0.2">
      <c r="A6625" t="s">
        <v>6077</v>
      </c>
      <c r="B6625" s="1">
        <v>1069878</v>
      </c>
      <c r="C6625" s="1">
        <v>2400</v>
      </c>
      <c r="D6625" s="2">
        <v>42423</v>
      </c>
      <c r="E6625" s="1" t="s">
        <v>18</v>
      </c>
      <c r="F6625" t="str">
        <f>HYPERLINK("http://www.sec.gov/Archives/edgar/data/1069878/0001193125-16-472797-index.html")</f>
        <v>http://www.sec.gov/Archives/edgar/data/1069878/0001193125-16-472797-index.html</v>
      </c>
    </row>
    <row r="6626" spans="1:6" x14ac:dyDescent="0.2">
      <c r="A6626" t="s">
        <v>6078</v>
      </c>
      <c r="B6626" s="1">
        <v>1091883</v>
      </c>
      <c r="C6626" s="1">
        <v>3490</v>
      </c>
      <c r="D6626" s="2">
        <v>42423</v>
      </c>
      <c r="E6626" s="1" t="s">
        <v>18</v>
      </c>
      <c r="F6626" t="str">
        <f>HYPERLINK("http://www.sec.gov/Archives/edgar/data/1091883/0001091883-16-000054-index.html")</f>
        <v>http://www.sec.gov/Archives/edgar/data/1091883/0001091883-16-000054-index.html</v>
      </c>
    </row>
    <row r="6627" spans="1:6" x14ac:dyDescent="0.2">
      <c r="A6627" t="s">
        <v>6079</v>
      </c>
      <c r="B6627" s="1">
        <v>1093557</v>
      </c>
      <c r="C6627" s="1">
        <v>3841</v>
      </c>
      <c r="D6627" s="2">
        <v>42423</v>
      </c>
      <c r="E6627" s="1" t="s">
        <v>18</v>
      </c>
      <c r="F6627" t="str">
        <f>HYPERLINK("http://www.sec.gov/Archives/edgar/data/1093557/0001093557-16-000432-index.html")</f>
        <v>http://www.sec.gov/Archives/edgar/data/1093557/0001093557-16-000432-index.html</v>
      </c>
    </row>
    <row r="6628" spans="1:6" x14ac:dyDescent="0.2">
      <c r="A6628" t="s">
        <v>6080</v>
      </c>
      <c r="B6628" s="1">
        <v>1096385</v>
      </c>
      <c r="C6628" s="1">
        <v>4932</v>
      </c>
      <c r="D6628" s="2">
        <v>42423</v>
      </c>
      <c r="E6628" s="1" t="s">
        <v>18</v>
      </c>
      <c r="F6628" t="str">
        <f>HYPERLINK("http://www.sec.gov/Archives/edgar/data/1096385/0001096385-16-000123-index.html")</f>
        <v>http://www.sec.gov/Archives/edgar/data/1096385/0001096385-16-000123-index.html</v>
      </c>
    </row>
    <row r="6629" spans="1:6" x14ac:dyDescent="0.2">
      <c r="A6629" t="s">
        <v>6081</v>
      </c>
      <c r="B6629" s="1">
        <v>1105472</v>
      </c>
      <c r="C6629" s="1">
        <v>7373</v>
      </c>
      <c r="D6629" s="2">
        <v>42423</v>
      </c>
      <c r="E6629" s="1" t="s">
        <v>18</v>
      </c>
      <c r="F6629" t="str">
        <f>HYPERLINK("http://www.sec.gov/Archives/edgar/data/1105472/0001105472-16-000038-index.html")</f>
        <v>http://www.sec.gov/Archives/edgar/data/1105472/0001105472-16-000038-index.html</v>
      </c>
    </row>
    <row r="6630" spans="1:6" x14ac:dyDescent="0.2">
      <c r="A6630" t="s">
        <v>6082</v>
      </c>
      <c r="B6630" s="1">
        <v>1109189</v>
      </c>
      <c r="C6630" s="1">
        <v>1389</v>
      </c>
      <c r="D6630" s="2">
        <v>42423</v>
      </c>
      <c r="E6630" s="1" t="s">
        <v>18</v>
      </c>
      <c r="F6630" t="str">
        <f>HYPERLINK("http://www.sec.gov/Archives/edgar/data/1109189/0001109189-16-000202-index.html")</f>
        <v>http://www.sec.gov/Archives/edgar/data/1109189/0001109189-16-000202-index.html</v>
      </c>
    </row>
    <row r="6631" spans="1:6" x14ac:dyDescent="0.2">
      <c r="A6631" t="s">
        <v>6083</v>
      </c>
      <c r="B6631" s="1">
        <v>1113148</v>
      </c>
      <c r="C6631" s="1">
        <v>2834</v>
      </c>
      <c r="D6631" s="2">
        <v>42423</v>
      </c>
      <c r="E6631" s="1" t="s">
        <v>18</v>
      </c>
      <c r="F6631" t="str">
        <f>HYPERLINK("http://www.sec.gov/Archives/edgar/data/1113148/0001193125-16-473445-index.html")</f>
        <v>http://www.sec.gov/Archives/edgar/data/1113148/0001193125-16-473445-index.html</v>
      </c>
    </row>
    <row r="6632" spans="1:6" x14ac:dyDescent="0.2">
      <c r="A6632" t="s">
        <v>6084</v>
      </c>
      <c r="B6632" s="1">
        <v>1127703</v>
      </c>
      <c r="C6632" s="1">
        <v>6331</v>
      </c>
      <c r="D6632" s="2">
        <v>42423</v>
      </c>
      <c r="E6632" s="1" t="s">
        <v>18</v>
      </c>
      <c r="F6632" t="str">
        <f>HYPERLINK("http://www.sec.gov/Archives/edgar/data/1127703/0001561231-16-000015-index.html")</f>
        <v>http://www.sec.gov/Archives/edgar/data/1127703/0001561231-16-000015-index.html</v>
      </c>
    </row>
    <row r="6633" spans="1:6" x14ac:dyDescent="0.2">
      <c r="A6633" t="s">
        <v>6085</v>
      </c>
      <c r="B6633" s="1">
        <v>1138639</v>
      </c>
      <c r="C6633" s="1">
        <v>3661</v>
      </c>
      <c r="D6633" s="2">
        <v>42423</v>
      </c>
      <c r="E6633" s="1" t="s">
        <v>18</v>
      </c>
      <c r="F6633" t="str">
        <f>HYPERLINK("http://www.sec.gov/Archives/edgar/data/1138639/0001138639-16-000019-index.html")</f>
        <v>http://www.sec.gov/Archives/edgar/data/1138639/0001138639-16-000019-index.html</v>
      </c>
    </row>
    <row r="6634" spans="1:6" x14ac:dyDescent="0.2">
      <c r="A6634" t="s">
        <v>6086</v>
      </c>
      <c r="B6634" s="1">
        <v>1163165</v>
      </c>
      <c r="C6634" s="1">
        <v>2911</v>
      </c>
      <c r="D6634" s="2">
        <v>42423</v>
      </c>
      <c r="E6634" s="1" t="s">
        <v>18</v>
      </c>
      <c r="F6634" t="str">
        <f>HYPERLINK("http://www.sec.gov/Archives/edgar/data/1163165/0001193125-16-472901-index.html")</f>
        <v>http://www.sec.gov/Archives/edgar/data/1163165/0001193125-16-472901-index.html</v>
      </c>
    </row>
    <row r="6635" spans="1:6" x14ac:dyDescent="0.2">
      <c r="A6635" t="s">
        <v>6087</v>
      </c>
      <c r="B6635" s="1">
        <v>1168054</v>
      </c>
      <c r="C6635" s="1">
        <v>1311</v>
      </c>
      <c r="D6635" s="2">
        <v>42423</v>
      </c>
      <c r="E6635" s="1" t="s">
        <v>18</v>
      </c>
      <c r="F6635" t="str">
        <f>HYPERLINK("http://www.sec.gov/Archives/edgar/data/1168054/0001558370-16-003392-index.html")</f>
        <v>http://www.sec.gov/Archives/edgar/data/1168054/0001558370-16-003392-index.html</v>
      </c>
    </row>
    <row r="6636" spans="1:6" x14ac:dyDescent="0.2">
      <c r="A6636" t="s">
        <v>6088</v>
      </c>
      <c r="B6636" s="1">
        <v>1232524</v>
      </c>
      <c r="C6636" s="1">
        <v>2834</v>
      </c>
      <c r="D6636" s="2">
        <v>42423</v>
      </c>
      <c r="E6636" s="1" t="s">
        <v>18</v>
      </c>
      <c r="F6636" t="str">
        <f>HYPERLINK("http://www.sec.gov/Archives/edgar/data/1232524/0001232524-16-000194-index.html")</f>
        <v>http://www.sec.gov/Archives/edgar/data/1232524/0001232524-16-000194-index.html</v>
      </c>
    </row>
    <row r="6637" spans="1:6" x14ac:dyDescent="0.2">
      <c r="A6637" t="s">
        <v>6089</v>
      </c>
      <c r="B6637" s="1">
        <v>1289790</v>
      </c>
      <c r="C6637" s="1">
        <v>5172</v>
      </c>
      <c r="D6637" s="2">
        <v>42423</v>
      </c>
      <c r="E6637" s="1" t="s">
        <v>18</v>
      </c>
      <c r="F6637" t="str">
        <f>HYPERLINK("http://www.sec.gov/Archives/edgar/data/1289790/0001144204-16-083730-index.html")</f>
        <v>http://www.sec.gov/Archives/edgar/data/1289790/0001144204-16-083730-index.html</v>
      </c>
    </row>
    <row r="6638" spans="1:6" x14ac:dyDescent="0.2">
      <c r="A6638" t="s">
        <v>6090</v>
      </c>
      <c r="B6638" s="1">
        <v>1289848</v>
      </c>
      <c r="C6638" s="1">
        <v>8742</v>
      </c>
      <c r="D6638" s="2">
        <v>42423</v>
      </c>
      <c r="E6638" s="1" t="s">
        <v>18</v>
      </c>
      <c r="F6638" t="str">
        <f>HYPERLINK("http://www.sec.gov/Archives/edgar/data/1289848/0001289848-16-000034-index.html")</f>
        <v>http://www.sec.gov/Archives/edgar/data/1289848/0001289848-16-000034-index.html</v>
      </c>
    </row>
    <row r="6639" spans="1:6" x14ac:dyDescent="0.2">
      <c r="A6639" t="s">
        <v>6091</v>
      </c>
      <c r="B6639" s="1">
        <v>1295810</v>
      </c>
      <c r="C6639" s="1">
        <v>7011</v>
      </c>
      <c r="D6639" s="2">
        <v>42423</v>
      </c>
      <c r="E6639" s="1" t="s">
        <v>18</v>
      </c>
      <c r="F6639" t="str">
        <f>HYPERLINK("http://www.sec.gov/Archives/edgar/data/1295810/0001558370-16-003377-index.html")</f>
        <v>http://www.sec.gov/Archives/edgar/data/1295810/0001558370-16-003377-index.html</v>
      </c>
    </row>
    <row r="6640" spans="1:6" x14ac:dyDescent="0.2">
      <c r="A6640" t="s">
        <v>6092</v>
      </c>
      <c r="B6640" s="1">
        <v>1318641</v>
      </c>
      <c r="C6640" s="1">
        <v>8731</v>
      </c>
      <c r="D6640" s="2">
        <v>42423</v>
      </c>
      <c r="E6640" s="1" t="s">
        <v>18</v>
      </c>
      <c r="F6640" t="str">
        <f>HYPERLINK("http://www.sec.gov/Archives/edgar/data/1318641/0001318641-16-000009-index.html")</f>
        <v>http://www.sec.gov/Archives/edgar/data/1318641/0001318641-16-000009-index.html</v>
      </c>
    </row>
    <row r="6641" spans="1:6" x14ac:dyDescent="0.2">
      <c r="A6641" t="s">
        <v>6093</v>
      </c>
      <c r="B6641" s="1">
        <v>1320461</v>
      </c>
      <c r="C6641" s="1">
        <v>3714</v>
      </c>
      <c r="D6641" s="2">
        <v>42423</v>
      </c>
      <c r="E6641" s="1" t="s">
        <v>18</v>
      </c>
      <c r="F6641" t="str">
        <f>HYPERLINK("http://www.sec.gov/Archives/edgar/data/1320461/0001320461-16-000094-index.html")</f>
        <v>http://www.sec.gov/Archives/edgar/data/1320461/0001320461-16-000094-index.html</v>
      </c>
    </row>
    <row r="6642" spans="1:6" x14ac:dyDescent="0.2">
      <c r="A6642" t="s">
        <v>6094</v>
      </c>
      <c r="B6642" s="1">
        <v>1328143</v>
      </c>
      <c r="C6642" s="1">
        <v>2834</v>
      </c>
      <c r="D6642" s="2">
        <v>42423</v>
      </c>
      <c r="E6642" s="1" t="s">
        <v>18</v>
      </c>
      <c r="F6642" t="str">
        <f>HYPERLINK("http://www.sec.gov/Archives/edgar/data/1328143/0001558370-16-003389-index.html")</f>
        <v>http://www.sec.gov/Archives/edgar/data/1328143/0001558370-16-003389-index.html</v>
      </c>
    </row>
    <row r="6643" spans="1:6" x14ac:dyDescent="0.2">
      <c r="A6643" t="s">
        <v>6095</v>
      </c>
      <c r="B6643" s="1">
        <v>1331875</v>
      </c>
      <c r="C6643" s="1">
        <v>6361</v>
      </c>
      <c r="D6643" s="2">
        <v>42423</v>
      </c>
      <c r="E6643" s="1" t="s">
        <v>18</v>
      </c>
      <c r="F6643" t="str">
        <f>HYPERLINK("http://www.sec.gov/Archives/edgar/data/1331875/0001331875-16-000111-index.html")</f>
        <v>http://www.sec.gov/Archives/edgar/data/1331875/0001331875-16-000111-index.html</v>
      </c>
    </row>
    <row r="6644" spans="1:6" x14ac:dyDescent="0.2">
      <c r="A6644" t="s">
        <v>6096</v>
      </c>
      <c r="B6644" s="1">
        <v>1344596</v>
      </c>
      <c r="C6644" s="1">
        <v>3743</v>
      </c>
      <c r="D6644" s="2">
        <v>42423</v>
      </c>
      <c r="E6644" s="1" t="s">
        <v>18</v>
      </c>
      <c r="F6644" t="str">
        <f>HYPERLINK("http://www.sec.gov/Archives/edgar/data/1344596/0001344596-16-000077-index.html")</f>
        <v>http://www.sec.gov/Archives/edgar/data/1344596/0001344596-16-000077-index.html</v>
      </c>
    </row>
    <row r="6645" spans="1:6" x14ac:dyDescent="0.2">
      <c r="A6645" t="s">
        <v>6097</v>
      </c>
      <c r="B6645" s="1">
        <v>1348324</v>
      </c>
      <c r="C6645" s="1">
        <v>3841</v>
      </c>
      <c r="D6645" s="2">
        <v>42423</v>
      </c>
      <c r="E6645" s="1" t="s">
        <v>18</v>
      </c>
      <c r="F6645" t="str">
        <f>HYPERLINK("http://www.sec.gov/Archives/edgar/data/1348324/0001348324-16-000158-index.html")</f>
        <v>http://www.sec.gov/Archives/edgar/data/1348324/0001348324-16-000158-index.html</v>
      </c>
    </row>
    <row r="6646" spans="1:6" x14ac:dyDescent="0.2">
      <c r="A6646" t="s">
        <v>6098</v>
      </c>
      <c r="B6646" s="1">
        <v>1352010</v>
      </c>
      <c r="C6646" s="1">
        <v>7371</v>
      </c>
      <c r="D6646" s="2">
        <v>42423</v>
      </c>
      <c r="E6646" s="1" t="s">
        <v>18</v>
      </c>
      <c r="F6646" t="str">
        <f>HYPERLINK("http://www.sec.gov/Archives/edgar/data/1352010/0001352010-16-000030-index.html")</f>
        <v>http://www.sec.gov/Archives/edgar/data/1352010/0001352010-16-000030-index.html</v>
      </c>
    </row>
    <row r="6647" spans="1:6" x14ac:dyDescent="0.2">
      <c r="A6647" t="s">
        <v>6099</v>
      </c>
      <c r="B6647" s="1">
        <v>1360530</v>
      </c>
      <c r="C6647" s="1">
        <v>5400</v>
      </c>
      <c r="D6647" s="2">
        <v>42423</v>
      </c>
      <c r="E6647" s="1" t="s">
        <v>18</v>
      </c>
      <c r="F6647" t="str">
        <f>HYPERLINK("http://www.sec.gov/Archives/edgar/data/1360530/0001193125-16-473644-index.html")</f>
        <v>http://www.sec.gov/Archives/edgar/data/1360530/0001193125-16-473644-index.html</v>
      </c>
    </row>
    <row r="6648" spans="1:6" x14ac:dyDescent="0.2">
      <c r="A6648" t="s">
        <v>6100</v>
      </c>
      <c r="B6648" s="1">
        <v>1383871</v>
      </c>
      <c r="C6648" s="1">
        <v>7374</v>
      </c>
      <c r="D6648" s="2">
        <v>42423</v>
      </c>
      <c r="E6648" s="1" t="s">
        <v>18</v>
      </c>
      <c r="F6648" t="str">
        <f>HYPERLINK("http://www.sec.gov/Archives/edgar/data/1383871/0001628280-16-011544-index.html")</f>
        <v>http://www.sec.gov/Archives/edgar/data/1383871/0001628280-16-011544-index.html</v>
      </c>
    </row>
    <row r="6649" spans="1:6" x14ac:dyDescent="0.2">
      <c r="A6649" t="s">
        <v>6101</v>
      </c>
      <c r="B6649" s="1">
        <v>1389002</v>
      </c>
      <c r="C6649" s="1">
        <v>7374</v>
      </c>
      <c r="D6649" s="2">
        <v>42423</v>
      </c>
      <c r="E6649" s="1" t="s">
        <v>18</v>
      </c>
      <c r="F6649" t="str">
        <f>HYPERLINK("http://www.sec.gov/Archives/edgar/data/1389002/0001564590-16-013011-index.html")</f>
        <v>http://www.sec.gov/Archives/edgar/data/1389002/0001564590-16-013011-index.html</v>
      </c>
    </row>
    <row r="6650" spans="1:6" x14ac:dyDescent="0.2">
      <c r="A6650" t="s">
        <v>6102</v>
      </c>
      <c r="B6650" s="1">
        <v>1418135</v>
      </c>
      <c r="C6650" s="1">
        <v>2080</v>
      </c>
      <c r="D6650" s="2">
        <v>42423</v>
      </c>
      <c r="E6650" s="1" t="s">
        <v>18</v>
      </c>
      <c r="F6650" t="str">
        <f>HYPERLINK("http://www.sec.gov/Archives/edgar/data/1418135/0001418135-16-000050-index.html")</f>
        <v>http://www.sec.gov/Archives/edgar/data/1418135/0001418135-16-000050-index.html</v>
      </c>
    </row>
    <row r="6651" spans="1:6" x14ac:dyDescent="0.2">
      <c r="A6651" t="s">
        <v>6103</v>
      </c>
      <c r="B6651" s="1">
        <v>1423689</v>
      </c>
      <c r="C6651" s="1">
        <v>6798</v>
      </c>
      <c r="D6651" s="2">
        <v>42423</v>
      </c>
      <c r="E6651" s="1" t="s">
        <v>18</v>
      </c>
      <c r="F6651" t="str">
        <f>HYPERLINK("http://www.sec.gov/Archives/edgar/data/1423689/0001423689-16-000053-index.html")</f>
        <v>http://www.sec.gov/Archives/edgar/data/1423689/0001423689-16-000053-index.html</v>
      </c>
    </row>
    <row r="6652" spans="1:6" x14ac:dyDescent="0.2">
      <c r="A6652" t="s">
        <v>6104</v>
      </c>
      <c r="B6652" s="1">
        <v>1423824</v>
      </c>
      <c r="C6652" s="1">
        <v>2834</v>
      </c>
      <c r="D6652" s="2">
        <v>42423</v>
      </c>
      <c r="E6652" s="1" t="s">
        <v>18</v>
      </c>
      <c r="F6652" t="str">
        <f>HYPERLINK("http://www.sec.gov/Archives/edgar/data/1423824/0001564590-16-013074-index.html")</f>
        <v>http://www.sec.gov/Archives/edgar/data/1423824/0001564590-16-013074-index.html</v>
      </c>
    </row>
    <row r="6653" spans="1:6" x14ac:dyDescent="0.2">
      <c r="A6653" t="s">
        <v>6105</v>
      </c>
      <c r="B6653" s="1">
        <v>1470099</v>
      </c>
      <c r="C6653" s="1">
        <v>7372</v>
      </c>
      <c r="D6653" s="2">
        <v>42423</v>
      </c>
      <c r="E6653" s="1" t="s">
        <v>18</v>
      </c>
      <c r="F6653" t="str">
        <f>HYPERLINK("http://www.sec.gov/Archives/edgar/data/1470099/0001558370-16-003380-index.html")</f>
        <v>http://www.sec.gov/Archives/edgar/data/1470099/0001558370-16-003380-index.html</v>
      </c>
    </row>
    <row r="6654" spans="1:6" x14ac:dyDescent="0.2">
      <c r="A6654" t="s">
        <v>6106</v>
      </c>
      <c r="B6654" s="1">
        <v>1481792</v>
      </c>
      <c r="C6654" s="1">
        <v>2750</v>
      </c>
      <c r="D6654" s="2">
        <v>42423</v>
      </c>
      <c r="E6654" s="1" t="s">
        <v>18</v>
      </c>
      <c r="F6654" t="str">
        <f>HYPERLINK("http://www.sec.gov/Archives/edgar/data/1481792/0001481792-16-000076-index.html")</f>
        <v>http://www.sec.gov/Archives/edgar/data/1481792/0001481792-16-000076-index.html</v>
      </c>
    </row>
    <row r="6655" spans="1:6" x14ac:dyDescent="0.2">
      <c r="A6655" t="s">
        <v>6107</v>
      </c>
      <c r="B6655" s="1">
        <v>1487371</v>
      </c>
      <c r="C6655" s="1">
        <v>3841</v>
      </c>
      <c r="D6655" s="2">
        <v>42423</v>
      </c>
      <c r="E6655" s="1" t="s">
        <v>18</v>
      </c>
      <c r="F6655" t="str">
        <f>HYPERLINK("http://www.sec.gov/Archives/edgar/data/1487371/0001487371-16-000229-index.html")</f>
        <v>http://www.sec.gov/Archives/edgar/data/1487371/0001487371-16-000229-index.html</v>
      </c>
    </row>
    <row r="6656" spans="1:6" x14ac:dyDescent="0.2">
      <c r="A6656" t="s">
        <v>6108</v>
      </c>
      <c r="B6656" s="1">
        <v>1492658</v>
      </c>
      <c r="C6656" s="1">
        <v>3842</v>
      </c>
      <c r="D6656" s="2">
        <v>42423</v>
      </c>
      <c r="E6656" s="1" t="s">
        <v>18</v>
      </c>
      <c r="F6656" t="str">
        <f>HYPERLINK("http://www.sec.gov/Archives/edgar/data/1492658/0001492658-16-000016-index.html")</f>
        <v>http://www.sec.gov/Archives/edgar/data/1492658/0001492658-16-000016-index.html</v>
      </c>
    </row>
    <row r="6657" spans="1:6" x14ac:dyDescent="0.2">
      <c r="A6657" t="s">
        <v>6109</v>
      </c>
      <c r="B6657" s="1">
        <v>1495240</v>
      </c>
      <c r="C6657" s="1">
        <v>6798</v>
      </c>
      <c r="D6657" s="2">
        <v>42423</v>
      </c>
      <c r="E6657" s="1" t="s">
        <v>18</v>
      </c>
      <c r="F6657" t="str">
        <f>HYPERLINK("http://www.sec.gov/Archives/edgar/data/1495240/0001193125-16-473575-index.html")</f>
        <v>http://www.sec.gov/Archives/edgar/data/1495240/0001193125-16-473575-index.html</v>
      </c>
    </row>
    <row r="6658" spans="1:6" x14ac:dyDescent="0.2">
      <c r="A6658" t="s">
        <v>6110</v>
      </c>
      <c r="B6658" s="1">
        <v>1505512</v>
      </c>
      <c r="C6658" s="1">
        <v>2834</v>
      </c>
      <c r="D6658" s="2">
        <v>42423</v>
      </c>
      <c r="E6658" s="1" t="s">
        <v>18</v>
      </c>
      <c r="F6658" t="str">
        <f>HYPERLINK("http://www.sec.gov/Archives/edgar/data/1505512/0001628280-16-011521-index.html")</f>
        <v>http://www.sec.gov/Archives/edgar/data/1505512/0001628280-16-011521-index.html</v>
      </c>
    </row>
    <row r="6659" spans="1:6" x14ac:dyDescent="0.2">
      <c r="A6659" t="s">
        <v>6111</v>
      </c>
      <c r="B6659" s="1">
        <v>1507563</v>
      </c>
      <c r="C6659" s="1">
        <v>7011</v>
      </c>
      <c r="D6659" s="2">
        <v>42423</v>
      </c>
      <c r="E6659" s="1" t="s">
        <v>18</v>
      </c>
      <c r="F6659" t="str">
        <f>HYPERLINK("http://www.sec.gov/Archives/edgar/data/1507563/0001193125-16-472493-index.html")</f>
        <v>http://www.sec.gov/Archives/edgar/data/1507563/0001193125-16-472493-index.html</v>
      </c>
    </row>
    <row r="6660" spans="1:6" x14ac:dyDescent="0.2">
      <c r="A6660" t="s">
        <v>6112</v>
      </c>
      <c r="B6660" s="1">
        <v>1519401</v>
      </c>
      <c r="C6660" s="1">
        <v>6141</v>
      </c>
      <c r="D6660" s="2">
        <v>42423</v>
      </c>
      <c r="E6660" s="1" t="s">
        <v>18</v>
      </c>
      <c r="F6660" t="str">
        <f>HYPERLINK("http://www.sec.gov/Archives/edgar/data/1519401/0001193125-16-473676-index.html")</f>
        <v>http://www.sec.gov/Archives/edgar/data/1519401/0001193125-16-473676-index.html</v>
      </c>
    </row>
    <row r="6661" spans="1:6" x14ac:dyDescent="0.2">
      <c r="A6661" t="s">
        <v>6113</v>
      </c>
      <c r="B6661" s="1">
        <v>1549848</v>
      </c>
      <c r="C6661" s="1">
        <v>1400</v>
      </c>
      <c r="D6661" s="2">
        <v>42423</v>
      </c>
      <c r="E6661" s="1" t="s">
        <v>18</v>
      </c>
      <c r="F6661" t="str">
        <f>HYPERLINK("http://www.sec.gov/Archives/edgar/data/1549848/0001549848-16-000101-index.html")</f>
        <v>http://www.sec.gov/Archives/edgar/data/1549848/0001549848-16-000101-index.html</v>
      </c>
    </row>
    <row r="6662" spans="1:6" x14ac:dyDescent="0.2">
      <c r="A6662" t="s">
        <v>6114</v>
      </c>
      <c r="B6662" s="1">
        <v>1581164</v>
      </c>
      <c r="C6662" s="1">
        <v>7011</v>
      </c>
      <c r="D6662" s="2">
        <v>42423</v>
      </c>
      <c r="E6662" s="1" t="s">
        <v>18</v>
      </c>
      <c r="F6662" t="str">
        <f>HYPERLINK("http://www.sec.gov/Archives/edgar/data/1581164/0001193125-16-472493-index.html")</f>
        <v>http://www.sec.gov/Archives/edgar/data/1581164/0001193125-16-472493-index.html</v>
      </c>
    </row>
    <row r="6663" spans="1:6" x14ac:dyDescent="0.2">
      <c r="A6663" t="s">
        <v>6115</v>
      </c>
      <c r="B6663" s="1">
        <v>1592480</v>
      </c>
      <c r="C6663" s="1">
        <v>3270</v>
      </c>
      <c r="D6663" s="2">
        <v>42423</v>
      </c>
      <c r="E6663" s="1" t="s">
        <v>18</v>
      </c>
      <c r="F6663" t="str">
        <f>HYPERLINK("http://www.sec.gov/Archives/edgar/data/1592480/0001193125-16-473633-index.html")</f>
        <v>http://www.sec.gov/Archives/edgar/data/1592480/0001193125-16-473633-index.html</v>
      </c>
    </row>
    <row r="6664" spans="1:6" x14ac:dyDescent="0.2">
      <c r="A6664" t="s">
        <v>6116</v>
      </c>
      <c r="B6664" s="1">
        <v>1599617</v>
      </c>
      <c r="C6664" s="1">
        <v>3533</v>
      </c>
      <c r="D6664" s="2">
        <v>42423</v>
      </c>
      <c r="E6664" s="1" t="s">
        <v>18</v>
      </c>
      <c r="F6664" t="str">
        <f>HYPERLINK("http://www.sec.gov/Archives/edgar/data/1599617/0001564590-16-013054-index.html")</f>
        <v>http://www.sec.gov/Archives/edgar/data/1599617/0001564590-16-013054-index.html</v>
      </c>
    </row>
    <row r="6665" spans="1:6" x14ac:dyDescent="0.2">
      <c r="A6665" t="s">
        <v>6117</v>
      </c>
      <c r="B6665" s="1">
        <v>1647509</v>
      </c>
      <c r="C6665" s="1">
        <v>6798</v>
      </c>
      <c r="D6665" s="2">
        <v>42423</v>
      </c>
      <c r="E6665" s="1" t="s">
        <v>18</v>
      </c>
      <c r="F6665" t="str">
        <f>HYPERLINK("http://www.sec.gov/Archives/edgar/data/1647509/0001647509-16-000054-index.html")</f>
        <v>http://www.sec.gov/Archives/edgar/data/1647509/0001647509-16-000054-index.html</v>
      </c>
    </row>
    <row r="6666" spans="1:6" x14ac:dyDescent="0.2">
      <c r="A6666" t="s">
        <v>6118</v>
      </c>
      <c r="B6666" s="1">
        <v>19617</v>
      </c>
      <c r="C6666" s="1">
        <v>6021</v>
      </c>
      <c r="D6666" s="2">
        <v>42423</v>
      </c>
      <c r="E6666" s="1" t="s">
        <v>18</v>
      </c>
      <c r="F6666" t="str">
        <f>HYPERLINK("http://www.sec.gov/Archives/edgar/data/19617/0000019617-16-000902-index.html")</f>
        <v>http://www.sec.gov/Archives/edgar/data/19617/0000019617-16-000902-index.html</v>
      </c>
    </row>
    <row r="6667" spans="1:6" x14ac:dyDescent="0.2">
      <c r="A6667" t="s">
        <v>6119</v>
      </c>
      <c r="B6667" s="1">
        <v>203077</v>
      </c>
      <c r="C6667" s="1">
        <v>3845</v>
      </c>
      <c r="D6667" s="2">
        <v>42423</v>
      </c>
      <c r="E6667" s="1" t="s">
        <v>18</v>
      </c>
      <c r="F6667" t="str">
        <f>HYPERLINK("http://www.sec.gov/Archives/edgar/data/203077/0000203077-16-000013-index.html")</f>
        <v>http://www.sec.gov/Archives/edgar/data/203077/0000203077-16-000013-index.html</v>
      </c>
    </row>
    <row r="6668" spans="1:6" x14ac:dyDescent="0.2">
      <c r="A6668" t="s">
        <v>6120</v>
      </c>
      <c r="B6668" s="1">
        <v>21535</v>
      </c>
      <c r="C6668" s="1">
        <v>3825</v>
      </c>
      <c r="D6668" s="2">
        <v>42423</v>
      </c>
      <c r="E6668" s="1" t="s">
        <v>18</v>
      </c>
      <c r="F6668" t="str">
        <f>HYPERLINK("http://www.sec.gov/Archives/edgar/data/21535/0001437749-16-025855-index.html")</f>
        <v>http://www.sec.gov/Archives/edgar/data/21535/0001437749-16-025855-index.html</v>
      </c>
    </row>
    <row r="6669" spans="1:6" x14ac:dyDescent="0.2">
      <c r="A6669" t="s">
        <v>6121</v>
      </c>
      <c r="B6669" s="1">
        <v>23111</v>
      </c>
      <c r="C6669" s="1">
        <v>7371</v>
      </c>
      <c r="D6669" s="2">
        <v>42423</v>
      </c>
      <c r="E6669" s="1" t="s">
        <v>18</v>
      </c>
      <c r="F6669" t="str">
        <f>HYPERLINK("http://www.sec.gov/Archives/edgar/data/23111/0000023111-16-000014-index.html")</f>
        <v>http://www.sec.gov/Archives/edgar/data/23111/0000023111-16-000014-index.html</v>
      </c>
    </row>
    <row r="6670" spans="1:6" x14ac:dyDescent="0.2">
      <c r="A6670" t="s">
        <v>6122</v>
      </c>
      <c r="B6670" s="1">
        <v>24491</v>
      </c>
      <c r="C6670" s="1">
        <v>3011</v>
      </c>
      <c r="D6670" s="2">
        <v>42423</v>
      </c>
      <c r="E6670" s="1" t="s">
        <v>18</v>
      </c>
      <c r="F6670" t="str">
        <f>HYPERLINK("http://www.sec.gov/Archives/edgar/data/24491/0001193125-16-473434-index.html")</f>
        <v>http://www.sec.gov/Archives/edgar/data/24491/0001193125-16-473434-index.html</v>
      </c>
    </row>
    <row r="6671" spans="1:6" x14ac:dyDescent="0.2">
      <c r="A6671" t="s">
        <v>6123</v>
      </c>
      <c r="B6671" s="1">
        <v>25445</v>
      </c>
      <c r="C6671" s="1">
        <v>3490</v>
      </c>
      <c r="D6671" s="2">
        <v>42423</v>
      </c>
      <c r="E6671" s="1" t="s">
        <v>18</v>
      </c>
      <c r="F6671" t="str">
        <f>HYPERLINK("http://www.sec.gov/Archives/edgar/data/25445/0001628280-16-011540-index.html")</f>
        <v>http://www.sec.gov/Archives/edgar/data/25445/0001628280-16-011540-index.html</v>
      </c>
    </row>
    <row r="6672" spans="1:6" x14ac:dyDescent="0.2">
      <c r="A6672" t="s">
        <v>6124</v>
      </c>
      <c r="B6672" s="1">
        <v>33488</v>
      </c>
      <c r="C6672" s="1">
        <v>3949</v>
      </c>
      <c r="D6672" s="2">
        <v>42423</v>
      </c>
      <c r="E6672" s="1" t="s">
        <v>18</v>
      </c>
      <c r="F6672" t="str">
        <f>HYPERLINK("http://www.sec.gov/Archives/edgar/data/33488/0001144204-16-083756-index.html")</f>
        <v>http://www.sec.gov/Archives/edgar/data/33488/0001144204-16-083756-index.html</v>
      </c>
    </row>
    <row r="6673" spans="1:6" x14ac:dyDescent="0.2">
      <c r="A6673" t="s">
        <v>6125</v>
      </c>
      <c r="B6673" s="1">
        <v>353569</v>
      </c>
      <c r="C6673" s="1">
        <v>2835</v>
      </c>
      <c r="D6673" s="2">
        <v>42423</v>
      </c>
      <c r="E6673" s="1" t="s">
        <v>18</v>
      </c>
      <c r="F6673" t="str">
        <f>HYPERLINK("http://www.sec.gov/Archives/edgar/data/353569/0000353569-16-000078-index.html")</f>
        <v>http://www.sec.gov/Archives/edgar/data/353569/0000353569-16-000078-index.html</v>
      </c>
    </row>
    <row r="6674" spans="1:6" x14ac:dyDescent="0.2">
      <c r="A6674" t="s">
        <v>6126</v>
      </c>
      <c r="B6674" s="1">
        <v>354707</v>
      </c>
      <c r="C6674" s="1">
        <v>4911</v>
      </c>
      <c r="D6674" s="2">
        <v>42423</v>
      </c>
      <c r="E6674" s="1" t="s">
        <v>18</v>
      </c>
      <c r="F6674" t="str">
        <f>HYPERLINK("http://www.sec.gov/Archives/edgar/data/354707/0000354707-16-000128-index.html")</f>
        <v>http://www.sec.gov/Archives/edgar/data/354707/0000354707-16-000128-index.html</v>
      </c>
    </row>
    <row r="6675" spans="1:6" x14ac:dyDescent="0.2">
      <c r="A6675" t="s">
        <v>6127</v>
      </c>
      <c r="B6675" s="1">
        <v>355811</v>
      </c>
      <c r="C6675" s="1">
        <v>3714</v>
      </c>
      <c r="D6675" s="2">
        <v>42423</v>
      </c>
      <c r="E6675" s="1" t="s">
        <v>18</v>
      </c>
      <c r="F6675" t="str">
        <f>HYPERLINK("http://www.sec.gov/Archives/edgar/data/355811/0000355811-16-000063-index.html")</f>
        <v>http://www.sec.gov/Archives/edgar/data/355811/0000355811-16-000063-index.html</v>
      </c>
    </row>
    <row r="6676" spans="1:6" x14ac:dyDescent="0.2">
      <c r="A6676" t="s">
        <v>6128</v>
      </c>
      <c r="B6676" s="1">
        <v>36146</v>
      </c>
      <c r="C6676" s="1">
        <v>6021</v>
      </c>
      <c r="D6676" s="2">
        <v>42423</v>
      </c>
      <c r="E6676" s="1" t="s">
        <v>18</v>
      </c>
      <c r="F6676" t="str">
        <f>HYPERLINK("http://www.sec.gov/Archives/edgar/data/36146/0001564590-16-013066-index.html")</f>
        <v>http://www.sec.gov/Archives/edgar/data/36146/0001564590-16-013066-index.html</v>
      </c>
    </row>
    <row r="6677" spans="1:6" x14ac:dyDescent="0.2">
      <c r="A6677" t="s">
        <v>6129</v>
      </c>
      <c r="B6677" s="1">
        <v>46207</v>
      </c>
      <c r="C6677" s="1">
        <v>4911</v>
      </c>
      <c r="D6677" s="2">
        <v>42423</v>
      </c>
      <c r="E6677" s="1" t="s">
        <v>18</v>
      </c>
      <c r="F6677" t="str">
        <f>HYPERLINK("http://www.sec.gov/Archives/edgar/data/46207/0000354707-16-000128-index.html")</f>
        <v>http://www.sec.gov/Archives/edgar/data/46207/0000354707-16-000128-index.html</v>
      </c>
    </row>
    <row r="6678" spans="1:6" x14ac:dyDescent="0.2">
      <c r="A6678" t="s">
        <v>6130</v>
      </c>
      <c r="B6678" s="1">
        <v>51143</v>
      </c>
      <c r="C6678" s="1">
        <v>3570</v>
      </c>
      <c r="D6678" s="2">
        <v>42423</v>
      </c>
      <c r="E6678" s="1" t="s">
        <v>18</v>
      </c>
      <c r="F6678" t="str">
        <f>HYPERLINK("http://www.sec.gov/Archives/edgar/data/51143/0001047469-16-010329-index.html")</f>
        <v>http://www.sec.gov/Archives/edgar/data/51143/0001047469-16-010329-index.html</v>
      </c>
    </row>
    <row r="6679" spans="1:6" x14ac:dyDescent="0.2">
      <c r="A6679" t="s">
        <v>6131</v>
      </c>
      <c r="B6679" s="1">
        <v>68505</v>
      </c>
      <c r="C6679" s="1">
        <v>3663</v>
      </c>
      <c r="D6679" s="2">
        <v>42423</v>
      </c>
      <c r="E6679" s="1" t="s">
        <v>18</v>
      </c>
      <c r="F6679" t="str">
        <f>HYPERLINK("http://www.sec.gov/Archives/edgar/data/68505/0000068505-16-000017-index.html")</f>
        <v>http://www.sec.gov/Archives/edgar/data/68505/0000068505-16-000017-index.html</v>
      </c>
    </row>
    <row r="6680" spans="1:6" x14ac:dyDescent="0.2">
      <c r="A6680" t="s">
        <v>6132</v>
      </c>
      <c r="B6680" s="1">
        <v>701853</v>
      </c>
      <c r="C6680" s="1">
        <v>6022</v>
      </c>
      <c r="D6680" s="2">
        <v>42423</v>
      </c>
      <c r="E6680" s="1" t="s">
        <v>18</v>
      </c>
      <c r="F6680" t="str">
        <f>HYPERLINK("http://www.sec.gov/Archives/edgar/data/701853/0000701853-16-000020-index.html")</f>
        <v>http://www.sec.gov/Archives/edgar/data/701853/0000701853-16-000020-index.html</v>
      </c>
    </row>
    <row r="6681" spans="1:6" x14ac:dyDescent="0.2">
      <c r="A6681" t="s">
        <v>6133</v>
      </c>
      <c r="B6681" s="1">
        <v>702325</v>
      </c>
      <c r="C6681" s="1">
        <v>6021</v>
      </c>
      <c r="D6681" s="2">
        <v>42423</v>
      </c>
      <c r="E6681" s="1" t="s">
        <v>18</v>
      </c>
      <c r="F6681" t="str">
        <f>HYPERLINK("http://www.sec.gov/Archives/edgar/data/702325/0000702325-16-000114-index.html")</f>
        <v>http://www.sec.gov/Archives/edgar/data/702325/0000702325-16-000114-index.html</v>
      </c>
    </row>
    <row r="6682" spans="1:6" x14ac:dyDescent="0.2">
      <c r="A6682" t="s">
        <v>6134</v>
      </c>
      <c r="B6682" s="1">
        <v>708955</v>
      </c>
      <c r="C6682" s="1">
        <v>6021</v>
      </c>
      <c r="D6682" s="2">
        <v>42423</v>
      </c>
      <c r="E6682" s="1" t="s">
        <v>18</v>
      </c>
      <c r="F6682" t="str">
        <f>HYPERLINK("http://www.sec.gov/Archives/edgar/data/708955/0000708955-16-000103-index.html")</f>
        <v>http://www.sec.gov/Archives/edgar/data/708955/0000708955-16-000103-index.html</v>
      </c>
    </row>
    <row r="6683" spans="1:6" x14ac:dyDescent="0.2">
      <c r="A6683" t="s">
        <v>6135</v>
      </c>
      <c r="B6683" s="1">
        <v>719220</v>
      </c>
      <c r="C6683" s="1">
        <v>6022</v>
      </c>
      <c r="D6683" s="2">
        <v>42423</v>
      </c>
      <c r="E6683" s="1" t="s">
        <v>18</v>
      </c>
      <c r="F6683" t="str">
        <f>HYPERLINK("http://www.sec.gov/Archives/edgar/data/719220/0000719220-16-000019-index.html")</f>
        <v>http://www.sec.gov/Archives/edgar/data/719220/0000719220-16-000019-index.html</v>
      </c>
    </row>
    <row r="6684" spans="1:6" x14ac:dyDescent="0.2">
      <c r="A6684" t="s">
        <v>6136</v>
      </c>
      <c r="B6684" s="1">
        <v>719413</v>
      </c>
      <c r="C6684" s="1">
        <v>1400</v>
      </c>
      <c r="D6684" s="2">
        <v>42423</v>
      </c>
      <c r="E6684" s="1" t="s">
        <v>18</v>
      </c>
      <c r="F6684" t="str">
        <f>HYPERLINK("http://www.sec.gov/Archives/edgar/data/719413/0001437749-16-025805-index.html")</f>
        <v>http://www.sec.gov/Archives/edgar/data/719413/0001437749-16-025805-index.html</v>
      </c>
    </row>
    <row r="6685" spans="1:6" x14ac:dyDescent="0.2">
      <c r="A6685" t="s">
        <v>6137</v>
      </c>
      <c r="B6685" s="1">
        <v>728535</v>
      </c>
      <c r="C6685" s="1">
        <v>4213</v>
      </c>
      <c r="D6685" s="2">
        <v>42423</v>
      </c>
      <c r="E6685" s="1" t="s">
        <v>18</v>
      </c>
      <c r="F6685" t="str">
        <f>HYPERLINK("http://www.sec.gov/Archives/edgar/data/728535/0001437749-16-025879-index.html")</f>
        <v>http://www.sec.gov/Archives/edgar/data/728535/0001437749-16-025879-index.html</v>
      </c>
    </row>
    <row r="6686" spans="1:6" x14ac:dyDescent="0.2">
      <c r="A6686" t="s">
        <v>6138</v>
      </c>
      <c r="B6686" s="1">
        <v>732712</v>
      </c>
      <c r="C6686" s="1">
        <v>4813</v>
      </c>
      <c r="D6686" s="2">
        <v>42423</v>
      </c>
      <c r="E6686" s="1" t="s">
        <v>18</v>
      </c>
      <c r="F6686" t="str">
        <f>HYPERLINK("http://www.sec.gov/Archives/edgar/data/732712/0001193125-16-473367-index.html")</f>
        <v>http://www.sec.gov/Archives/edgar/data/732712/0001193125-16-473367-index.html</v>
      </c>
    </row>
    <row r="6687" spans="1:6" x14ac:dyDescent="0.2">
      <c r="A6687" t="s">
        <v>6139</v>
      </c>
      <c r="B6687" s="1">
        <v>74208</v>
      </c>
      <c r="C6687" s="1">
        <v>6798</v>
      </c>
      <c r="D6687" s="2">
        <v>42423</v>
      </c>
      <c r="E6687" s="1" t="s">
        <v>18</v>
      </c>
      <c r="F6687" t="str">
        <f>HYPERLINK("http://www.sec.gov/Archives/edgar/data/74208/0000074208-16-000140-index.html")</f>
        <v>http://www.sec.gov/Archives/edgar/data/74208/0000074208-16-000140-index.html</v>
      </c>
    </row>
    <row r="6688" spans="1:6" x14ac:dyDescent="0.2">
      <c r="A6688" t="s">
        <v>5840</v>
      </c>
      <c r="B6688" s="1">
        <v>744218</v>
      </c>
      <c r="C6688" s="1">
        <v>2835</v>
      </c>
      <c r="D6688" s="2">
        <v>42423</v>
      </c>
      <c r="E6688" s="1" t="s">
        <v>18</v>
      </c>
      <c r="F6688" t="str">
        <f>HYPERLINK("http://www.sec.gov/Archives/edgar/data/744218/0001047469-16-010308-index.html")</f>
        <v>http://www.sec.gov/Archives/edgar/data/744218/0001047469-16-010308-index.html</v>
      </c>
    </row>
    <row r="6689" spans="1:6" x14ac:dyDescent="0.2">
      <c r="A6689" t="s">
        <v>6140</v>
      </c>
      <c r="B6689" s="1">
        <v>750556</v>
      </c>
      <c r="C6689" s="1">
        <v>6021</v>
      </c>
      <c r="D6689" s="2">
        <v>42423</v>
      </c>
      <c r="E6689" s="1" t="s">
        <v>18</v>
      </c>
      <c r="F6689" t="str">
        <f>HYPERLINK("http://www.sec.gov/Archives/edgar/data/750556/0000750556-16-000251-index.html")</f>
        <v>http://www.sec.gov/Archives/edgar/data/750556/0000750556-16-000251-index.html</v>
      </c>
    </row>
    <row r="6690" spans="1:6" x14ac:dyDescent="0.2">
      <c r="A6690" t="s">
        <v>6141</v>
      </c>
      <c r="B6690" s="1">
        <v>775368</v>
      </c>
      <c r="C6690" s="1">
        <v>6331</v>
      </c>
      <c r="D6690" s="2">
        <v>42423</v>
      </c>
      <c r="E6690" s="1" t="s">
        <v>18</v>
      </c>
      <c r="F6690" t="str">
        <f>HYPERLINK("http://www.sec.gov/Archives/edgar/data/775368/0001193125-16-473635-index.html")</f>
        <v>http://www.sec.gov/Archives/edgar/data/775368/0001193125-16-473635-index.html</v>
      </c>
    </row>
    <row r="6691" spans="1:6" x14ac:dyDescent="0.2">
      <c r="A6691" t="s">
        <v>6142</v>
      </c>
      <c r="B6691" s="1">
        <v>797465</v>
      </c>
      <c r="C6691" s="1">
        <v>2511</v>
      </c>
      <c r="D6691" s="2">
        <v>42423</v>
      </c>
      <c r="E6691" s="1" t="s">
        <v>18</v>
      </c>
      <c r="F6691" t="str">
        <f>HYPERLINK("http://www.sec.gov/Archives/edgar/data/797465/0001513162-16-000732-index.html")</f>
        <v>http://www.sec.gov/Archives/edgar/data/797465/0001513162-16-000732-index.html</v>
      </c>
    </row>
    <row r="6692" spans="1:6" x14ac:dyDescent="0.2">
      <c r="A6692" t="s">
        <v>6143</v>
      </c>
      <c r="B6692" s="1">
        <v>800240</v>
      </c>
      <c r="C6692" s="1">
        <v>5940</v>
      </c>
      <c r="D6692" s="2">
        <v>42423</v>
      </c>
      <c r="E6692" s="1" t="s">
        <v>18</v>
      </c>
      <c r="F6692" t="str">
        <f>HYPERLINK("http://www.sec.gov/Archives/edgar/data/800240/0001193125-16-472490-index.html")</f>
        <v>http://www.sec.gov/Archives/edgar/data/800240/0001193125-16-472490-index.html</v>
      </c>
    </row>
    <row r="6693" spans="1:6" x14ac:dyDescent="0.2">
      <c r="A6693" t="s">
        <v>6144</v>
      </c>
      <c r="B6693" s="1">
        <v>816956</v>
      </c>
      <c r="C6693" s="1">
        <v>3845</v>
      </c>
      <c r="D6693" s="2">
        <v>42423</v>
      </c>
      <c r="E6693" s="1" t="s">
        <v>18</v>
      </c>
      <c r="F6693" t="str">
        <f>HYPERLINK("http://www.sec.gov/Archives/edgar/data/816956/0000816956-16-000013-index.html")</f>
        <v>http://www.sec.gov/Archives/edgar/data/816956/0000816956-16-000013-index.html</v>
      </c>
    </row>
    <row r="6694" spans="1:6" x14ac:dyDescent="0.2">
      <c r="A6694" t="s">
        <v>6145</v>
      </c>
      <c r="B6694" s="1">
        <v>827052</v>
      </c>
      <c r="C6694" s="1">
        <v>4911</v>
      </c>
      <c r="D6694" s="2">
        <v>42423</v>
      </c>
      <c r="E6694" s="1" t="s">
        <v>18</v>
      </c>
      <c r="F6694" t="str">
        <f>HYPERLINK("http://www.sec.gov/Archives/edgar/data/827052/0000827052-16-000222-index.html")</f>
        <v>http://www.sec.gov/Archives/edgar/data/827052/0000827052-16-000222-index.html</v>
      </c>
    </row>
    <row r="6695" spans="1:6" x14ac:dyDescent="0.2">
      <c r="A6695" t="s">
        <v>6146</v>
      </c>
      <c r="B6695" s="1">
        <v>84748</v>
      </c>
      <c r="C6695" s="1">
        <v>2821</v>
      </c>
      <c r="D6695" s="2">
        <v>42423</v>
      </c>
      <c r="E6695" s="1" t="s">
        <v>18</v>
      </c>
      <c r="F6695" t="str">
        <f>HYPERLINK("http://www.sec.gov/Archives/edgar/data/84748/0000084748-16-000013-index.html")</f>
        <v>http://www.sec.gov/Archives/edgar/data/84748/0000084748-16-000013-index.html</v>
      </c>
    </row>
    <row r="6696" spans="1:6" x14ac:dyDescent="0.2">
      <c r="A6696" t="s">
        <v>6147</v>
      </c>
      <c r="B6696" s="1">
        <v>866368</v>
      </c>
      <c r="C6696" s="1">
        <v>6798</v>
      </c>
      <c r="D6696" s="2">
        <v>42423</v>
      </c>
      <c r="E6696" s="1" t="s">
        <v>18</v>
      </c>
      <c r="F6696" t="str">
        <f>HYPERLINK("http://www.sec.gov/Archives/edgar/data/866368/0000866368-16-000029-index.html")</f>
        <v>http://www.sec.gov/Archives/edgar/data/866368/0000866368-16-000029-index.html</v>
      </c>
    </row>
    <row r="6697" spans="1:6" x14ac:dyDescent="0.2">
      <c r="A6697" t="s">
        <v>6148</v>
      </c>
      <c r="B6697" s="1">
        <v>868780</v>
      </c>
      <c r="C6697" s="1">
        <v>3714</v>
      </c>
      <c r="D6697" s="2">
        <v>42423</v>
      </c>
      <c r="E6697" s="1" t="s">
        <v>18</v>
      </c>
      <c r="F6697" t="str">
        <f>HYPERLINK("http://www.sec.gov/Archives/edgar/data/868780/0001193125-16-473016-index.html")</f>
        <v>http://www.sec.gov/Archives/edgar/data/868780/0001193125-16-473016-index.html</v>
      </c>
    </row>
    <row r="6698" spans="1:6" x14ac:dyDescent="0.2">
      <c r="A6698" t="s">
        <v>6149</v>
      </c>
      <c r="B6698" s="1">
        <v>882104</v>
      </c>
      <c r="C6698" s="1">
        <v>2836</v>
      </c>
      <c r="D6698" s="2">
        <v>42423</v>
      </c>
      <c r="E6698" s="1" t="s">
        <v>18</v>
      </c>
      <c r="F6698" t="str">
        <f>HYPERLINK("http://www.sec.gov/Archives/edgar/data/882104/0000882104-16-000112-index.html")</f>
        <v>http://www.sec.gov/Archives/edgar/data/882104/0000882104-16-000112-index.html</v>
      </c>
    </row>
    <row r="6699" spans="1:6" x14ac:dyDescent="0.2">
      <c r="A6699" t="s">
        <v>6150</v>
      </c>
      <c r="B6699" s="1">
        <v>883945</v>
      </c>
      <c r="C6699" s="1">
        <v>4213</v>
      </c>
      <c r="D6699" s="2">
        <v>42423</v>
      </c>
      <c r="E6699" s="1" t="s">
        <v>18</v>
      </c>
      <c r="F6699" t="str">
        <f>HYPERLINK("http://www.sec.gov/Archives/edgar/data/883945/0001437749-16-025882-index.html")</f>
        <v>http://www.sec.gov/Archives/edgar/data/883945/0001437749-16-025882-index.html</v>
      </c>
    </row>
    <row r="6700" spans="1:6" x14ac:dyDescent="0.2">
      <c r="A6700" t="s">
        <v>6151</v>
      </c>
      <c r="B6700" s="1">
        <v>8868</v>
      </c>
      <c r="C6700" s="1">
        <v>2844</v>
      </c>
      <c r="D6700" s="2">
        <v>42423</v>
      </c>
      <c r="E6700" s="1" t="s">
        <v>18</v>
      </c>
      <c r="F6700" t="str">
        <f>HYPERLINK("http://www.sec.gov/Archives/edgar/data/8868/0000008868-16-000104-index.html")</f>
        <v>http://www.sec.gov/Archives/edgar/data/8868/0000008868-16-000104-index.html</v>
      </c>
    </row>
    <row r="6701" spans="1:6" x14ac:dyDescent="0.2">
      <c r="A6701" t="s">
        <v>6152</v>
      </c>
      <c r="B6701" s="1">
        <v>890319</v>
      </c>
      <c r="C6701" s="1">
        <v>6798</v>
      </c>
      <c r="D6701" s="2">
        <v>42423</v>
      </c>
      <c r="E6701" s="1" t="s">
        <v>18</v>
      </c>
      <c r="F6701" t="str">
        <f>HYPERLINK("http://www.sec.gov/Archives/edgar/data/890319/0000890319-16-000202-index.html")</f>
        <v>http://www.sec.gov/Archives/edgar/data/890319/0000890319-16-000202-index.html</v>
      </c>
    </row>
    <row r="6702" spans="1:6" x14ac:dyDescent="0.2">
      <c r="A6702" t="s">
        <v>6153</v>
      </c>
      <c r="B6702" s="1">
        <v>895417</v>
      </c>
      <c r="C6702" s="1">
        <v>6798</v>
      </c>
      <c r="D6702" s="2">
        <v>42423</v>
      </c>
      <c r="E6702" s="1" t="s">
        <v>18</v>
      </c>
      <c r="F6702" t="str">
        <f>HYPERLINK("http://www.sec.gov/Archives/edgar/data/895417/0000895417-16-000082-index.html")</f>
        <v>http://www.sec.gov/Archives/edgar/data/895417/0000895417-16-000082-index.html</v>
      </c>
    </row>
    <row r="6703" spans="1:6" x14ac:dyDescent="0.2">
      <c r="A6703" t="s">
        <v>6154</v>
      </c>
      <c r="B6703" s="1">
        <v>895421</v>
      </c>
      <c r="C6703" s="1">
        <v>6211</v>
      </c>
      <c r="D6703" s="2">
        <v>42423</v>
      </c>
      <c r="E6703" s="1" t="s">
        <v>18</v>
      </c>
      <c r="F6703" t="str">
        <f>HYPERLINK("http://www.sec.gov/Archives/edgar/data/895421/0001193125-16-473553-index.html")</f>
        <v>http://www.sec.gov/Archives/edgar/data/895421/0001193125-16-473553-index.html</v>
      </c>
    </row>
    <row r="6704" spans="1:6" x14ac:dyDescent="0.2">
      <c r="A6704" t="s">
        <v>6155</v>
      </c>
      <c r="B6704" s="1">
        <v>899715</v>
      </c>
      <c r="C6704" s="1">
        <v>6798</v>
      </c>
      <c r="D6704" s="2">
        <v>42423</v>
      </c>
      <c r="E6704" s="1" t="s">
        <v>18</v>
      </c>
      <c r="F6704" t="str">
        <f>HYPERLINK("http://www.sec.gov/Archives/edgar/data/899715/0000899715-16-000265-index.html")</f>
        <v>http://www.sec.gov/Archives/edgar/data/899715/0000899715-16-000265-index.html</v>
      </c>
    </row>
    <row r="6705" spans="1:6" x14ac:dyDescent="0.2">
      <c r="A6705" t="s">
        <v>6156</v>
      </c>
      <c r="B6705" s="1">
        <v>901491</v>
      </c>
      <c r="C6705" s="1">
        <v>5812</v>
      </c>
      <c r="D6705" s="2">
        <v>42423</v>
      </c>
      <c r="E6705" s="1" t="s">
        <v>18</v>
      </c>
      <c r="F6705" t="str">
        <f>HYPERLINK("http://www.sec.gov/Archives/edgar/data/901491/0001104659-16-099249-index.html")</f>
        <v>http://www.sec.gov/Archives/edgar/data/901491/0001104659-16-099249-index.html</v>
      </c>
    </row>
    <row r="6706" spans="1:6" x14ac:dyDescent="0.2">
      <c r="A6706" t="s">
        <v>6157</v>
      </c>
      <c r="B6706" s="1">
        <v>909281</v>
      </c>
      <c r="C6706" s="1">
        <v>4922</v>
      </c>
      <c r="D6706" s="2">
        <v>42423</v>
      </c>
      <c r="E6706" s="1" t="s">
        <v>18</v>
      </c>
      <c r="F6706" t="str">
        <f>HYPERLINK("http://www.sec.gov/Archives/edgar/data/909281/0000909281-16-000088-index.html")</f>
        <v>http://www.sec.gov/Archives/edgar/data/909281/0000909281-16-000088-index.html</v>
      </c>
    </row>
    <row r="6707" spans="1:6" x14ac:dyDescent="0.2">
      <c r="A6707" t="s">
        <v>6158</v>
      </c>
      <c r="B6707" s="1">
        <v>912593</v>
      </c>
      <c r="C6707" s="1">
        <v>6798</v>
      </c>
      <c r="D6707" s="2">
        <v>42423</v>
      </c>
      <c r="E6707" s="1" t="s">
        <v>18</v>
      </c>
      <c r="F6707" t="str">
        <f>HYPERLINK("http://www.sec.gov/Archives/edgar/data/912593/0000912593-16-000134-index.html")</f>
        <v>http://www.sec.gov/Archives/edgar/data/912593/0000912593-16-000134-index.html</v>
      </c>
    </row>
    <row r="6708" spans="1:6" x14ac:dyDescent="0.2">
      <c r="A6708" t="s">
        <v>6159</v>
      </c>
      <c r="B6708" s="1">
        <v>916076</v>
      </c>
      <c r="C6708" s="1">
        <v>1400</v>
      </c>
      <c r="D6708" s="2">
        <v>42423</v>
      </c>
      <c r="E6708" s="1" t="s">
        <v>18</v>
      </c>
      <c r="F6708" t="str">
        <f>HYPERLINK("http://www.sec.gov/Archives/edgar/data/916076/0001193125-16-473754-index.html")</f>
        <v>http://www.sec.gov/Archives/edgar/data/916076/0001193125-16-473754-index.html</v>
      </c>
    </row>
    <row r="6709" spans="1:6" x14ac:dyDescent="0.2">
      <c r="A6709" t="s">
        <v>6160</v>
      </c>
      <c r="B6709" s="1">
        <v>916365</v>
      </c>
      <c r="C6709" s="1">
        <v>5200</v>
      </c>
      <c r="D6709" s="2">
        <v>42423</v>
      </c>
      <c r="E6709" s="1" t="s">
        <v>18</v>
      </c>
      <c r="F6709" t="str">
        <f>HYPERLINK("http://www.sec.gov/Archives/edgar/data/916365/0000916365-16-000140-index.html")</f>
        <v>http://www.sec.gov/Archives/edgar/data/916365/0000916365-16-000140-index.html</v>
      </c>
    </row>
    <row r="6710" spans="1:6" x14ac:dyDescent="0.2">
      <c r="A6710" t="s">
        <v>6161</v>
      </c>
      <c r="B6710" s="1">
        <v>92103</v>
      </c>
      <c r="C6710" s="1">
        <v>4911</v>
      </c>
      <c r="D6710" s="2">
        <v>42423</v>
      </c>
      <c r="E6710" s="1" t="s">
        <v>18</v>
      </c>
      <c r="F6710" t="str">
        <f>HYPERLINK("http://www.sec.gov/Archives/edgar/data/92103/0000827052-16-000222-index.html")</f>
        <v>http://www.sec.gov/Archives/edgar/data/92103/0000827052-16-000222-index.html</v>
      </c>
    </row>
    <row r="6711" spans="1:6" x14ac:dyDescent="0.2">
      <c r="A6711" t="s">
        <v>6162</v>
      </c>
      <c r="B6711" s="1">
        <v>936402</v>
      </c>
      <c r="C6711" s="1">
        <v>2834</v>
      </c>
      <c r="D6711" s="2">
        <v>42423</v>
      </c>
      <c r="E6711" s="1" t="s">
        <v>18</v>
      </c>
      <c r="F6711" t="str">
        <f>HYPERLINK("http://www.sec.gov/Archives/edgar/data/936402/0000950103-16-011313-index.html")</f>
        <v>http://www.sec.gov/Archives/edgar/data/936402/0000950103-16-011313-index.html</v>
      </c>
    </row>
    <row r="6712" spans="1:6" x14ac:dyDescent="0.2">
      <c r="A6712" t="s">
        <v>6163</v>
      </c>
      <c r="B6712" s="1">
        <v>1003642</v>
      </c>
      <c r="C6712" s="1">
        <v>2834</v>
      </c>
      <c r="D6712" s="2">
        <v>42422</v>
      </c>
      <c r="E6712" s="1" t="s">
        <v>18</v>
      </c>
      <c r="F6712" t="str">
        <f>HYPERLINK("http://www.sec.gov/Archives/edgar/data/1003642/0001437749-16-025780-index.html")</f>
        <v>http://www.sec.gov/Archives/edgar/data/1003642/0001437749-16-025780-index.html</v>
      </c>
    </row>
    <row r="6713" spans="1:6" x14ac:dyDescent="0.2">
      <c r="A6713" t="s">
        <v>6164</v>
      </c>
      <c r="B6713" s="1">
        <v>1012100</v>
      </c>
      <c r="C6713" s="1">
        <v>2820</v>
      </c>
      <c r="D6713" s="2">
        <v>42422</v>
      </c>
      <c r="E6713" s="1" t="s">
        <v>18</v>
      </c>
      <c r="F6713" t="str">
        <f>HYPERLINK("http://www.sec.gov/Archives/edgar/data/1012100/0001564590-16-013004-index.html")</f>
        <v>http://www.sec.gov/Archives/edgar/data/1012100/0001564590-16-013004-index.html</v>
      </c>
    </row>
    <row r="6714" spans="1:6" x14ac:dyDescent="0.2">
      <c r="A6714" t="s">
        <v>483</v>
      </c>
      <c r="B6714" s="1">
        <v>1023298</v>
      </c>
      <c r="C6714" s="1">
        <v>7819</v>
      </c>
      <c r="D6714" s="2">
        <v>42422</v>
      </c>
      <c r="E6714" s="1" t="s">
        <v>18</v>
      </c>
      <c r="F6714" t="str">
        <f>HYPERLINK("http://www.sec.gov/Archives/edgar/data/1023298/0001144204-16-083493-index.html")</f>
        <v>http://www.sec.gov/Archives/edgar/data/1023298/0001144204-16-083493-index.html</v>
      </c>
    </row>
    <row r="6715" spans="1:6" x14ac:dyDescent="0.2">
      <c r="A6715" t="s">
        <v>6165</v>
      </c>
      <c r="B6715" s="1">
        <v>1040593</v>
      </c>
      <c r="C6715" s="1">
        <v>1311</v>
      </c>
      <c r="D6715" s="2">
        <v>42422</v>
      </c>
      <c r="E6715" s="1" t="s">
        <v>18</v>
      </c>
      <c r="F6715" t="str">
        <f>HYPERLINK("http://www.sec.gov/Archives/edgar/data/1040593/0001040593-16-000132-index.html")</f>
        <v>http://www.sec.gov/Archives/edgar/data/1040593/0001040593-16-000132-index.html</v>
      </c>
    </row>
    <row r="6716" spans="1:6" x14ac:dyDescent="0.2">
      <c r="A6716" t="s">
        <v>6166</v>
      </c>
      <c r="B6716" s="1">
        <v>1047127</v>
      </c>
      <c r="C6716" s="1">
        <v>3674</v>
      </c>
      <c r="D6716" s="2">
        <v>42422</v>
      </c>
      <c r="E6716" s="1" t="s">
        <v>18</v>
      </c>
      <c r="F6716" t="str">
        <f>HYPERLINK("http://www.sec.gov/Archives/edgar/data/1047127/0001047127-16-000049-index.html")</f>
        <v>http://www.sec.gov/Archives/edgar/data/1047127/0001047127-16-000049-index.html</v>
      </c>
    </row>
    <row r="6717" spans="1:6" x14ac:dyDescent="0.2">
      <c r="A6717" t="s">
        <v>6167</v>
      </c>
      <c r="B6717" s="1">
        <v>1051470</v>
      </c>
      <c r="C6717" s="1">
        <v>6798</v>
      </c>
      <c r="D6717" s="2">
        <v>42422</v>
      </c>
      <c r="E6717" s="1" t="s">
        <v>18</v>
      </c>
      <c r="F6717" t="str">
        <f>HYPERLINK("http://www.sec.gov/Archives/edgar/data/1051470/0001051470-16-000158-index.html")</f>
        <v>http://www.sec.gov/Archives/edgar/data/1051470/0001051470-16-000158-index.html</v>
      </c>
    </row>
    <row r="6718" spans="1:6" x14ac:dyDescent="0.2">
      <c r="A6718" t="s">
        <v>6168</v>
      </c>
      <c r="B6718" s="1">
        <v>1056288</v>
      </c>
      <c r="C6718" s="1">
        <v>6282</v>
      </c>
      <c r="D6718" s="2">
        <v>42422</v>
      </c>
      <c r="E6718" s="1" t="s">
        <v>18</v>
      </c>
      <c r="F6718" t="str">
        <f>HYPERLINK("http://www.sec.gov/Archives/edgar/data/1056288/0001056288-16-000025-index.html")</f>
        <v>http://www.sec.gov/Archives/edgar/data/1056288/0001056288-16-000025-index.html</v>
      </c>
    </row>
    <row r="6719" spans="1:6" x14ac:dyDescent="0.2">
      <c r="A6719" t="s">
        <v>6169</v>
      </c>
      <c r="B6719" s="1">
        <v>1061937</v>
      </c>
      <c r="C6719" s="1">
        <v>7011</v>
      </c>
      <c r="D6719" s="2">
        <v>42422</v>
      </c>
      <c r="E6719" s="1" t="s">
        <v>18</v>
      </c>
      <c r="F6719" t="str">
        <f>HYPERLINK("http://www.sec.gov/Archives/edgar/data/1061937/0001564590-16-012990-index.html")</f>
        <v>http://www.sec.gov/Archives/edgar/data/1061937/0001564590-16-012990-index.html</v>
      </c>
    </row>
    <row r="6720" spans="1:6" x14ac:dyDescent="0.2">
      <c r="A6720" t="s">
        <v>6170</v>
      </c>
      <c r="B6720" s="1">
        <v>1070750</v>
      </c>
      <c r="C6720" s="1">
        <v>6798</v>
      </c>
      <c r="D6720" s="2">
        <v>42422</v>
      </c>
      <c r="E6720" s="1" t="s">
        <v>18</v>
      </c>
      <c r="F6720" t="str">
        <f>HYPERLINK("http://www.sec.gov/Archives/edgar/data/1070750/0001564590-16-012990-index.html")</f>
        <v>http://www.sec.gov/Archives/edgar/data/1070750/0001564590-16-012990-index.html</v>
      </c>
    </row>
    <row r="6721" spans="1:6" x14ac:dyDescent="0.2">
      <c r="A6721" t="s">
        <v>6171</v>
      </c>
      <c r="B6721" s="1">
        <v>1071739</v>
      </c>
      <c r="C6721" s="1">
        <v>6324</v>
      </c>
      <c r="D6721" s="2">
        <v>42422</v>
      </c>
      <c r="E6721" s="1" t="s">
        <v>18</v>
      </c>
      <c r="F6721" t="str">
        <f>HYPERLINK("http://www.sec.gov/Archives/edgar/data/1071739/0001071739-16-000192-index.html")</f>
        <v>http://www.sec.gov/Archives/edgar/data/1071739/0001071739-16-000192-index.html</v>
      </c>
    </row>
    <row r="6722" spans="1:6" x14ac:dyDescent="0.2">
      <c r="A6722" t="s">
        <v>6172</v>
      </c>
      <c r="B6722" s="1">
        <v>1082526</v>
      </c>
      <c r="C6722" s="1">
        <v>7372</v>
      </c>
      <c r="D6722" s="2">
        <v>42422</v>
      </c>
      <c r="E6722" s="1" t="s">
        <v>18</v>
      </c>
      <c r="F6722" t="str">
        <f>HYPERLINK("http://www.sec.gov/Archives/edgar/data/1082526/0001564590-16-013005-index.html")</f>
        <v>http://www.sec.gov/Archives/edgar/data/1082526/0001564590-16-013005-index.html</v>
      </c>
    </row>
    <row r="6723" spans="1:6" x14ac:dyDescent="0.2">
      <c r="A6723" t="s">
        <v>6173</v>
      </c>
      <c r="B6723" s="1">
        <v>1082754</v>
      </c>
      <c r="C6723" s="1">
        <v>7363</v>
      </c>
      <c r="D6723" s="2">
        <v>42422</v>
      </c>
      <c r="E6723" s="1" t="s">
        <v>18</v>
      </c>
      <c r="F6723" t="str">
        <f>HYPERLINK("http://www.sec.gov/Archives/edgar/data/1082754/0001082754-16-000054-index.html")</f>
        <v>http://www.sec.gov/Archives/edgar/data/1082754/0001082754-16-000054-index.html</v>
      </c>
    </row>
    <row r="6724" spans="1:6" x14ac:dyDescent="0.2">
      <c r="A6724" t="s">
        <v>6174</v>
      </c>
      <c r="B6724" s="1">
        <v>1091862</v>
      </c>
      <c r="C6724" s="1">
        <v>2820</v>
      </c>
      <c r="D6724" s="2">
        <v>42422</v>
      </c>
      <c r="E6724" s="1" t="s">
        <v>18</v>
      </c>
      <c r="F6724" t="str">
        <f>HYPERLINK("http://www.sec.gov/Archives/edgar/data/1091862/0001091862-16-000020-index.html")</f>
        <v>http://www.sec.gov/Archives/edgar/data/1091862/0001091862-16-000020-index.html</v>
      </c>
    </row>
    <row r="6725" spans="1:6" x14ac:dyDescent="0.2">
      <c r="A6725" t="s">
        <v>6175</v>
      </c>
      <c r="B6725" s="1">
        <v>1121484</v>
      </c>
      <c r="C6725" s="1">
        <v>3533</v>
      </c>
      <c r="D6725" s="2">
        <v>42422</v>
      </c>
      <c r="E6725" s="1" t="s">
        <v>18</v>
      </c>
      <c r="F6725" t="str">
        <f>HYPERLINK("http://www.sec.gov/Archives/edgar/data/1121484/0001437749-16-025723-index.html")</f>
        <v>http://www.sec.gov/Archives/edgar/data/1121484/0001437749-16-025723-index.html</v>
      </c>
    </row>
    <row r="6726" spans="1:6" x14ac:dyDescent="0.2">
      <c r="A6726" t="s">
        <v>6176</v>
      </c>
      <c r="B6726" s="1">
        <v>1123852</v>
      </c>
      <c r="C6726" s="1">
        <v>4931</v>
      </c>
      <c r="D6726" s="2">
        <v>42422</v>
      </c>
      <c r="E6726" s="1" t="s">
        <v>18</v>
      </c>
      <c r="F6726" t="str">
        <f>HYPERLINK("http://www.sec.gov/Archives/edgar/data/1123852/0001123852-16-000018-index.html")</f>
        <v>http://www.sec.gov/Archives/edgar/data/1123852/0001123852-16-000018-index.html</v>
      </c>
    </row>
    <row r="6727" spans="1:6" x14ac:dyDescent="0.2">
      <c r="A6727" t="s">
        <v>6177</v>
      </c>
      <c r="B6727" s="1">
        <v>11544</v>
      </c>
      <c r="C6727" s="1">
        <v>6331</v>
      </c>
      <c r="D6727" s="2">
        <v>42422</v>
      </c>
      <c r="E6727" s="1" t="s">
        <v>18</v>
      </c>
      <c r="F6727" t="str">
        <f>HYPERLINK("http://www.sec.gov/Archives/edgar/data/11544/0000011544-16-000086-index.html")</f>
        <v>http://www.sec.gov/Archives/edgar/data/11544/0000011544-16-000086-index.html</v>
      </c>
    </row>
    <row r="6728" spans="1:6" x14ac:dyDescent="0.2">
      <c r="A6728" t="s">
        <v>6178</v>
      </c>
      <c r="B6728" s="1">
        <v>1163348</v>
      </c>
      <c r="C6728" s="1">
        <v>6331</v>
      </c>
      <c r="D6728" s="2">
        <v>42422</v>
      </c>
      <c r="E6728" s="1" t="s">
        <v>18</v>
      </c>
      <c r="F6728" t="str">
        <f>HYPERLINK("http://www.sec.gov/Archives/edgar/data/1163348/0001163348-16-000054-index.html")</f>
        <v>http://www.sec.gov/Archives/edgar/data/1163348/0001163348-16-000054-index.html</v>
      </c>
    </row>
    <row r="6729" spans="1:6" x14ac:dyDescent="0.2">
      <c r="A6729" t="s">
        <v>6179</v>
      </c>
      <c r="B6729" s="1">
        <v>1175609</v>
      </c>
      <c r="C6729" s="1">
        <v>3674</v>
      </c>
      <c r="D6729" s="2">
        <v>42422</v>
      </c>
      <c r="E6729" s="1" t="s">
        <v>18</v>
      </c>
      <c r="F6729" t="str">
        <f>HYPERLINK("http://www.sec.gov/Archives/edgar/data/1175609/0001564590-16-013000-index.html")</f>
        <v>http://www.sec.gov/Archives/edgar/data/1175609/0001564590-16-013000-index.html</v>
      </c>
    </row>
    <row r="6730" spans="1:6" x14ac:dyDescent="0.2">
      <c r="A6730" t="s">
        <v>6180</v>
      </c>
      <c r="B6730" s="1">
        <v>1227654</v>
      </c>
      <c r="C6730" s="1">
        <v>1400</v>
      </c>
      <c r="D6730" s="2">
        <v>42422</v>
      </c>
      <c r="E6730" s="1" t="s">
        <v>18</v>
      </c>
      <c r="F6730" t="str">
        <f>HYPERLINK("http://www.sec.gov/Archives/edgar/data/1227654/0001227654-16-000082-index.html")</f>
        <v>http://www.sec.gov/Archives/edgar/data/1227654/0001227654-16-000082-index.html</v>
      </c>
    </row>
    <row r="6731" spans="1:6" x14ac:dyDescent="0.2">
      <c r="A6731" t="s">
        <v>6181</v>
      </c>
      <c r="B6731" s="1">
        <v>1254595</v>
      </c>
      <c r="C6731" s="1">
        <v>6798</v>
      </c>
      <c r="D6731" s="2">
        <v>42422</v>
      </c>
      <c r="E6731" s="1" t="s">
        <v>18</v>
      </c>
      <c r="F6731" t="str">
        <f>HYPERLINK("http://www.sec.gov/Archives/edgar/data/1254595/0001254595-16-000101-index.html")</f>
        <v>http://www.sec.gov/Archives/edgar/data/1254595/0001254595-16-000101-index.html</v>
      </c>
    </row>
    <row r="6732" spans="1:6" x14ac:dyDescent="0.2">
      <c r="A6732" t="s">
        <v>6182</v>
      </c>
      <c r="B6732" s="1">
        <v>1261694</v>
      </c>
      <c r="C6732" s="1">
        <v>3674</v>
      </c>
      <c r="D6732" s="2">
        <v>42422</v>
      </c>
      <c r="E6732" s="1" t="s">
        <v>18</v>
      </c>
      <c r="F6732" t="str">
        <f>HYPERLINK("http://www.sec.gov/Archives/edgar/data/1261694/0001628280-16-011480-index.html")</f>
        <v>http://www.sec.gov/Archives/edgar/data/1261694/0001628280-16-011480-index.html</v>
      </c>
    </row>
    <row r="6733" spans="1:6" x14ac:dyDescent="0.2">
      <c r="A6733" t="s">
        <v>6183</v>
      </c>
      <c r="B6733" s="1">
        <v>1267130</v>
      </c>
      <c r="C6733" s="1">
        <v>5940</v>
      </c>
      <c r="D6733" s="2">
        <v>42422</v>
      </c>
      <c r="E6733" s="1" t="s">
        <v>18</v>
      </c>
      <c r="F6733" t="str">
        <f>HYPERLINK("http://www.sec.gov/Archives/edgar/data/1267130/0001267130-16-000150-index.html")</f>
        <v>http://www.sec.gov/Archives/edgar/data/1267130/0001267130-16-000150-index.html</v>
      </c>
    </row>
    <row r="6734" spans="1:6" x14ac:dyDescent="0.2">
      <c r="A6734" t="s">
        <v>6184</v>
      </c>
      <c r="B6734" s="1">
        <v>1277856</v>
      </c>
      <c r="C6734" s="1">
        <v>7389</v>
      </c>
      <c r="D6734" s="2">
        <v>42422</v>
      </c>
      <c r="E6734" s="1" t="s">
        <v>18</v>
      </c>
      <c r="F6734" t="str">
        <f>HYPERLINK("http://www.sec.gov/Archives/edgar/data/1277856/0001558370-16-003325-index.html")</f>
        <v>http://www.sec.gov/Archives/edgar/data/1277856/0001558370-16-003325-index.html</v>
      </c>
    </row>
    <row r="6735" spans="1:6" x14ac:dyDescent="0.2">
      <c r="A6735" t="s">
        <v>6185</v>
      </c>
      <c r="B6735" s="1">
        <v>1308710</v>
      </c>
      <c r="C6735" s="1">
        <v>1311</v>
      </c>
      <c r="D6735" s="2">
        <v>42422</v>
      </c>
      <c r="E6735" s="1" t="s">
        <v>42</v>
      </c>
      <c r="F6735" t="str">
        <f>HYPERLINK("http://www.sec.gov/Archives/edgar/data/1308710/0001052918-16-000833-index.html")</f>
        <v>http://www.sec.gov/Archives/edgar/data/1308710/0001052918-16-000833-index.html</v>
      </c>
    </row>
    <row r="6736" spans="1:6" x14ac:dyDescent="0.2">
      <c r="A6736" t="s">
        <v>6186</v>
      </c>
      <c r="B6736" s="1">
        <v>1325702</v>
      </c>
      <c r="C6736" s="1">
        <v>3674</v>
      </c>
      <c r="D6736" s="2">
        <v>42422</v>
      </c>
      <c r="E6736" s="1" t="s">
        <v>18</v>
      </c>
      <c r="F6736" t="str">
        <f>HYPERLINK("http://www.sec.gov/Archives/edgar/data/1325702/0001193125-16-470674-index.html")</f>
        <v>http://www.sec.gov/Archives/edgar/data/1325702/0001193125-16-470674-index.html</v>
      </c>
    </row>
    <row r="6737" spans="1:6" x14ac:dyDescent="0.2">
      <c r="A6737" t="s">
        <v>6187</v>
      </c>
      <c r="B6737" s="1">
        <v>1336917</v>
      </c>
      <c r="C6737" s="1">
        <v>2300</v>
      </c>
      <c r="D6737" s="2">
        <v>42422</v>
      </c>
      <c r="E6737" s="1" t="s">
        <v>18</v>
      </c>
      <c r="F6737" t="str">
        <f>HYPERLINK("http://www.sec.gov/Archives/edgar/data/1336917/0001336917-16-000064-index.html")</f>
        <v>http://www.sec.gov/Archives/edgar/data/1336917/0001336917-16-000064-index.html</v>
      </c>
    </row>
    <row r="6738" spans="1:6" x14ac:dyDescent="0.2">
      <c r="A6738" t="s">
        <v>6188</v>
      </c>
      <c r="B6738" s="1">
        <v>1348259</v>
      </c>
      <c r="C6738" s="1">
        <v>6331</v>
      </c>
      <c r="D6738" s="2">
        <v>42422</v>
      </c>
      <c r="E6738" s="1" t="s">
        <v>18</v>
      </c>
      <c r="F6738" t="str">
        <f>HYPERLINK("http://www.sec.gov/Archives/edgar/data/1348259/0001348259-16-000202-index.html")</f>
        <v>http://www.sec.gov/Archives/edgar/data/1348259/0001348259-16-000202-index.html</v>
      </c>
    </row>
    <row r="6739" spans="1:6" x14ac:dyDescent="0.2">
      <c r="A6739" t="s">
        <v>6189</v>
      </c>
      <c r="B6739" s="1">
        <v>1360604</v>
      </c>
      <c r="C6739" s="1">
        <v>6798</v>
      </c>
      <c r="D6739" s="2">
        <v>42422</v>
      </c>
      <c r="E6739" s="1" t="s">
        <v>18</v>
      </c>
      <c r="F6739" t="str">
        <f>HYPERLINK("http://www.sec.gov/Archives/edgar/data/1360604/0001360604-16-000072-index.html")</f>
        <v>http://www.sec.gov/Archives/edgar/data/1360604/0001360604-16-000072-index.html</v>
      </c>
    </row>
    <row r="6740" spans="1:6" x14ac:dyDescent="0.2">
      <c r="A6740" t="s">
        <v>6190</v>
      </c>
      <c r="B6740" s="1">
        <v>1362468</v>
      </c>
      <c r="C6740" s="1">
        <v>4512</v>
      </c>
      <c r="D6740" s="2">
        <v>42422</v>
      </c>
      <c r="E6740" s="1" t="s">
        <v>18</v>
      </c>
      <c r="F6740" t="str">
        <f>HYPERLINK("http://www.sec.gov/Archives/edgar/data/1362468/0001362468-16-000054-index.html")</f>
        <v>http://www.sec.gov/Archives/edgar/data/1362468/0001362468-16-000054-index.html</v>
      </c>
    </row>
    <row r="6741" spans="1:6" x14ac:dyDescent="0.2">
      <c r="A6741" t="s">
        <v>6191</v>
      </c>
      <c r="B6741" s="1">
        <v>1385613</v>
      </c>
      <c r="C6741" s="1">
        <v>6331</v>
      </c>
      <c r="D6741" s="2">
        <v>42422</v>
      </c>
      <c r="E6741" s="1" t="s">
        <v>18</v>
      </c>
      <c r="F6741" t="str">
        <f>HYPERLINK("http://www.sec.gov/Archives/edgar/data/1385613/0001385613-16-000118-index.html")</f>
        <v>http://www.sec.gov/Archives/edgar/data/1385613/0001385613-16-000118-index.html</v>
      </c>
    </row>
    <row r="6742" spans="1:6" x14ac:dyDescent="0.2">
      <c r="A6742" t="s">
        <v>1473</v>
      </c>
      <c r="B6742" s="1">
        <v>1409970</v>
      </c>
      <c r="C6742" s="1">
        <v>7389</v>
      </c>
      <c r="D6742" s="2">
        <v>42422</v>
      </c>
      <c r="E6742" s="1" t="s">
        <v>18</v>
      </c>
      <c r="F6742" t="str">
        <f>HYPERLINK("http://www.sec.gov/Archives/edgar/data/1409970/0001409970-16-001762-index.html")</f>
        <v>http://www.sec.gov/Archives/edgar/data/1409970/0001409970-16-001762-index.html</v>
      </c>
    </row>
    <row r="6743" spans="1:6" x14ac:dyDescent="0.2">
      <c r="A6743" t="s">
        <v>6192</v>
      </c>
      <c r="B6743" s="1">
        <v>1411574</v>
      </c>
      <c r="C6743" s="1">
        <v>8093</v>
      </c>
      <c r="D6743" s="2">
        <v>42422</v>
      </c>
      <c r="E6743" s="1" t="s">
        <v>18</v>
      </c>
      <c r="F6743" t="str">
        <f>HYPERLINK("http://www.sec.gov/Archives/edgar/data/1411574/0001564590-16-012993-index.html")</f>
        <v>http://www.sec.gov/Archives/edgar/data/1411574/0001564590-16-012993-index.html</v>
      </c>
    </row>
    <row r="6744" spans="1:6" x14ac:dyDescent="0.2">
      <c r="A6744" t="s">
        <v>6193</v>
      </c>
      <c r="B6744" s="1">
        <v>1437071</v>
      </c>
      <c r="C6744" s="1">
        <v>6798</v>
      </c>
      <c r="D6744" s="2">
        <v>42422</v>
      </c>
      <c r="E6744" s="1" t="s">
        <v>18</v>
      </c>
      <c r="F6744" t="str">
        <f>HYPERLINK("http://www.sec.gov/Archives/edgar/data/1437071/0001437071-16-000052-index.html")</f>
        <v>http://www.sec.gov/Archives/edgar/data/1437071/0001437071-16-000052-index.html</v>
      </c>
    </row>
    <row r="6745" spans="1:6" x14ac:dyDescent="0.2">
      <c r="A6745" t="s">
        <v>6194</v>
      </c>
      <c r="B6745" s="1">
        <v>1441236</v>
      </c>
      <c r="C6745" s="1">
        <v>2631</v>
      </c>
      <c r="D6745" s="2">
        <v>42422</v>
      </c>
      <c r="E6745" s="1" t="s">
        <v>18</v>
      </c>
      <c r="F6745" t="str">
        <f>HYPERLINK("http://www.sec.gov/Archives/edgar/data/1441236/0001628280-16-011455-index.html")</f>
        <v>http://www.sec.gov/Archives/edgar/data/1441236/0001628280-16-011455-index.html</v>
      </c>
    </row>
    <row r="6746" spans="1:6" x14ac:dyDescent="0.2">
      <c r="A6746" t="s">
        <v>6195</v>
      </c>
      <c r="B6746" s="1">
        <v>1471261</v>
      </c>
      <c r="C6746" s="1">
        <v>1311</v>
      </c>
      <c r="D6746" s="2">
        <v>42422</v>
      </c>
      <c r="E6746" s="1" t="s">
        <v>18</v>
      </c>
      <c r="F6746" t="str">
        <f>HYPERLINK("http://www.sec.gov/Archives/edgar/data/1471261/0001564590-16-012967-index.html")</f>
        <v>http://www.sec.gov/Archives/edgar/data/1471261/0001564590-16-012967-index.html</v>
      </c>
    </row>
    <row r="6747" spans="1:6" x14ac:dyDescent="0.2">
      <c r="A6747" t="s">
        <v>6196</v>
      </c>
      <c r="B6747" s="1">
        <v>1474098</v>
      </c>
      <c r="C6747" s="1">
        <v>6798</v>
      </c>
      <c r="D6747" s="2">
        <v>42422</v>
      </c>
      <c r="E6747" s="1" t="s">
        <v>18</v>
      </c>
      <c r="F6747" t="str">
        <f>HYPERLINK("http://www.sec.gov/Archives/edgar/data/1474098/0001474098-16-000089-index.html")</f>
        <v>http://www.sec.gov/Archives/edgar/data/1474098/0001474098-16-000089-index.html</v>
      </c>
    </row>
    <row r="6748" spans="1:6" x14ac:dyDescent="0.2">
      <c r="A6748" t="s">
        <v>6197</v>
      </c>
      <c r="B6748" s="1">
        <v>1492298</v>
      </c>
      <c r="C6748" s="1">
        <v>6798</v>
      </c>
      <c r="D6748" s="2">
        <v>42422</v>
      </c>
      <c r="E6748" s="1" t="s">
        <v>18</v>
      </c>
      <c r="F6748" t="str">
        <f>HYPERLINK("http://www.sec.gov/Archives/edgar/data/1492298/0001492298-16-000054-index.html")</f>
        <v>http://www.sec.gov/Archives/edgar/data/1492298/0001492298-16-000054-index.html</v>
      </c>
    </row>
    <row r="6749" spans="1:6" x14ac:dyDescent="0.2">
      <c r="A6749" t="s">
        <v>6198</v>
      </c>
      <c r="B6749" s="1">
        <v>1492691</v>
      </c>
      <c r="C6749" s="1">
        <v>4213</v>
      </c>
      <c r="D6749" s="2">
        <v>42422</v>
      </c>
      <c r="E6749" s="1" t="s">
        <v>18</v>
      </c>
      <c r="F6749" t="str">
        <f>HYPERLINK("http://www.sec.gov/Archives/edgar/data/1492691/0001492691-16-000059-index.html")</f>
        <v>http://www.sec.gov/Archives/edgar/data/1492691/0001492691-16-000059-index.html</v>
      </c>
    </row>
    <row r="6750" spans="1:6" x14ac:dyDescent="0.2">
      <c r="A6750" t="s">
        <v>6199</v>
      </c>
      <c r="B6750" s="1">
        <v>1495491</v>
      </c>
      <c r="C6750" s="1">
        <v>6798</v>
      </c>
      <c r="D6750" s="2">
        <v>42422</v>
      </c>
      <c r="E6750" s="1" t="s">
        <v>18</v>
      </c>
      <c r="F6750" t="str">
        <f>HYPERLINK("http://www.sec.gov/Archives/edgar/data/1495491/0001360604-16-000072-index.html")</f>
        <v>http://www.sec.gov/Archives/edgar/data/1495491/0001360604-16-000072-index.html</v>
      </c>
    </row>
    <row r="6751" spans="1:6" x14ac:dyDescent="0.2">
      <c r="A6751" t="s">
        <v>6200</v>
      </c>
      <c r="B6751" s="1">
        <v>1509991</v>
      </c>
      <c r="C6751" s="1">
        <v>1311</v>
      </c>
      <c r="D6751" s="2">
        <v>42422</v>
      </c>
      <c r="E6751" s="1" t="s">
        <v>18</v>
      </c>
      <c r="F6751" t="str">
        <f>HYPERLINK("http://www.sec.gov/Archives/edgar/data/1509991/0001558370-16-003331-index.html")</f>
        <v>http://www.sec.gov/Archives/edgar/data/1509991/0001558370-16-003331-index.html</v>
      </c>
    </row>
    <row r="6752" spans="1:6" x14ac:dyDescent="0.2">
      <c r="A6752" t="s">
        <v>6201</v>
      </c>
      <c r="B6752" s="1">
        <v>1555082</v>
      </c>
      <c r="C6752" s="1">
        <v>1311</v>
      </c>
      <c r="D6752" s="2">
        <v>42422</v>
      </c>
      <c r="E6752" s="1" t="s">
        <v>18</v>
      </c>
      <c r="F6752" t="str">
        <f>HYPERLINK("http://www.sec.gov/Archives/edgar/data/1555082/0001555082-16-000012-index.html")</f>
        <v>http://www.sec.gov/Archives/edgar/data/1555082/0001555082-16-000012-index.html</v>
      </c>
    </row>
    <row r="6753" spans="1:6" x14ac:dyDescent="0.2">
      <c r="A6753" t="s">
        <v>6202</v>
      </c>
      <c r="B6753" s="1">
        <v>1571371</v>
      </c>
      <c r="C6753" s="1">
        <v>1540</v>
      </c>
      <c r="D6753" s="2">
        <v>42422</v>
      </c>
      <c r="E6753" s="1" t="s">
        <v>18</v>
      </c>
      <c r="F6753" t="str">
        <f>HYPERLINK("http://www.sec.gov/Archives/edgar/data/1571371/0001193125-16-470366-index.html")</f>
        <v>http://www.sec.gov/Archives/edgar/data/1571371/0001193125-16-470366-index.html</v>
      </c>
    </row>
    <row r="6754" spans="1:6" x14ac:dyDescent="0.2">
      <c r="A6754" t="s">
        <v>6203</v>
      </c>
      <c r="B6754" s="1">
        <v>1574532</v>
      </c>
      <c r="C6754" s="1">
        <v>1531</v>
      </c>
      <c r="D6754" s="2">
        <v>42422</v>
      </c>
      <c r="E6754" s="1" t="s">
        <v>18</v>
      </c>
      <c r="F6754" t="str">
        <f>HYPERLINK("http://www.sec.gov/Archives/edgar/data/1574532/0001193125-16-471714-index.html")</f>
        <v>http://www.sec.gov/Archives/edgar/data/1574532/0001193125-16-471714-index.html</v>
      </c>
    </row>
    <row r="6755" spans="1:6" x14ac:dyDescent="0.2">
      <c r="A6755" t="s">
        <v>6204</v>
      </c>
      <c r="B6755" s="1">
        <v>1574774</v>
      </c>
      <c r="C6755" s="1">
        <v>3841</v>
      </c>
      <c r="D6755" s="2">
        <v>42422</v>
      </c>
      <c r="E6755" s="1" t="s">
        <v>18</v>
      </c>
      <c r="F6755" t="str">
        <f>HYPERLINK("http://www.sec.gov/Archives/edgar/data/1574774/0001047469-16-010284-index.html")</f>
        <v>http://www.sec.gov/Archives/edgar/data/1574774/0001047469-16-010284-index.html</v>
      </c>
    </row>
    <row r="6756" spans="1:6" x14ac:dyDescent="0.2">
      <c r="A6756" t="s">
        <v>6205</v>
      </c>
      <c r="B6756" s="1">
        <v>1575965</v>
      </c>
      <c r="C6756" s="1">
        <v>6798</v>
      </c>
      <c r="D6756" s="2">
        <v>42422</v>
      </c>
      <c r="E6756" s="1" t="s">
        <v>18</v>
      </c>
      <c r="F6756" t="str">
        <f>HYPERLINK("http://www.sec.gov/Archives/edgar/data/1575965/0001575965-16-000091-index.html")</f>
        <v>http://www.sec.gov/Archives/edgar/data/1575965/0001575965-16-000091-index.html</v>
      </c>
    </row>
    <row r="6757" spans="1:6" x14ac:dyDescent="0.2">
      <c r="A6757" t="s">
        <v>6206</v>
      </c>
      <c r="B6757" s="1">
        <v>1582568</v>
      </c>
      <c r="C6757" s="1">
        <v>4610</v>
      </c>
      <c r="D6757" s="2">
        <v>42422</v>
      </c>
      <c r="E6757" s="1" t="s">
        <v>18</v>
      </c>
      <c r="F6757" t="str">
        <f>HYPERLINK("http://www.sec.gov/Archives/edgar/data/1582568/0001582568-16-000077-index.html")</f>
        <v>http://www.sec.gov/Archives/edgar/data/1582568/0001582568-16-000077-index.html</v>
      </c>
    </row>
    <row r="6758" spans="1:6" x14ac:dyDescent="0.2">
      <c r="A6758" t="s">
        <v>6207</v>
      </c>
      <c r="B6758" s="1">
        <v>1584952</v>
      </c>
      <c r="C6758" s="1">
        <v>1311</v>
      </c>
      <c r="D6758" s="2">
        <v>42422</v>
      </c>
      <c r="E6758" s="1" t="s">
        <v>18</v>
      </c>
      <c r="F6758" t="str">
        <f>HYPERLINK("http://www.sec.gov/Archives/edgar/data/1584952/0001584952-16-000025-index.html")</f>
        <v>http://www.sec.gov/Archives/edgar/data/1584952/0001584952-16-000025-index.html</v>
      </c>
    </row>
    <row r="6759" spans="1:6" x14ac:dyDescent="0.2">
      <c r="A6759" t="s">
        <v>6208</v>
      </c>
      <c r="B6759" s="1">
        <v>1590955</v>
      </c>
      <c r="C6759" s="1">
        <v>7372</v>
      </c>
      <c r="D6759" s="2">
        <v>42422</v>
      </c>
      <c r="E6759" s="1" t="s">
        <v>18</v>
      </c>
      <c r="F6759" t="str">
        <f>HYPERLINK("http://www.sec.gov/Archives/edgar/data/1590955/0001564590-16-013001-index.html")</f>
        <v>http://www.sec.gov/Archives/edgar/data/1590955/0001564590-16-013001-index.html</v>
      </c>
    </row>
    <row r="6760" spans="1:6" x14ac:dyDescent="0.2">
      <c r="A6760" t="s">
        <v>6209</v>
      </c>
      <c r="B6760" s="1">
        <v>1621563</v>
      </c>
      <c r="C6760" s="1">
        <v>1400</v>
      </c>
      <c r="D6760" s="2">
        <v>42422</v>
      </c>
      <c r="E6760" s="1" t="s">
        <v>18</v>
      </c>
      <c r="F6760" t="str">
        <f>HYPERLINK("http://www.sec.gov/Archives/edgar/data/1621563/0001193125-16-470366-index.html")</f>
        <v>http://www.sec.gov/Archives/edgar/data/1621563/0001193125-16-470366-index.html</v>
      </c>
    </row>
    <row r="6761" spans="1:6" x14ac:dyDescent="0.2">
      <c r="A6761" t="s">
        <v>6210</v>
      </c>
      <c r="B6761" s="1">
        <v>1625095</v>
      </c>
      <c r="C6761" s="1">
        <v>7372</v>
      </c>
      <c r="D6761" s="2">
        <v>42422</v>
      </c>
      <c r="E6761" s="1" t="s">
        <v>18</v>
      </c>
      <c r="F6761" t="str">
        <f>HYPERLINK("http://www.sec.gov/Archives/edgar/data/1625095/0001625095-16-000015-index.html")</f>
        <v>http://www.sec.gov/Archives/edgar/data/1625095/0001625095-16-000015-index.html</v>
      </c>
    </row>
    <row r="6762" spans="1:6" x14ac:dyDescent="0.2">
      <c r="A6762" t="s">
        <v>20</v>
      </c>
      <c r="B6762" s="1">
        <v>1634293</v>
      </c>
      <c r="C6762" s="1">
        <v>6770</v>
      </c>
      <c r="D6762" s="2">
        <v>42422</v>
      </c>
      <c r="E6762" s="1" t="s">
        <v>18</v>
      </c>
      <c r="F6762" t="str">
        <f>HYPERLINK("http://www.sec.gov/Archives/edgar/data/1634293/0001657250-16-000026-index.html")</f>
        <v>http://www.sec.gov/Archives/edgar/data/1634293/0001657250-16-000026-index.html</v>
      </c>
    </row>
    <row r="6763" spans="1:6" x14ac:dyDescent="0.2">
      <c r="A6763" t="s">
        <v>6211</v>
      </c>
      <c r="B6763" s="1">
        <v>1642453</v>
      </c>
      <c r="C6763" s="1">
        <v>6770</v>
      </c>
      <c r="D6763" s="2">
        <v>42422</v>
      </c>
      <c r="E6763" s="1" t="s">
        <v>42</v>
      </c>
      <c r="F6763" t="str">
        <f>HYPERLINK("http://www.sec.gov/Archives/edgar/data/1642453/0001213900-16-011152-index.html")</f>
        <v>http://www.sec.gov/Archives/edgar/data/1642453/0001213900-16-011152-index.html</v>
      </c>
    </row>
    <row r="6764" spans="1:6" x14ac:dyDescent="0.2">
      <c r="A6764" t="s">
        <v>6212</v>
      </c>
      <c r="B6764" s="1">
        <v>216228</v>
      </c>
      <c r="C6764" s="1">
        <v>3561</v>
      </c>
      <c r="D6764" s="2">
        <v>42422</v>
      </c>
      <c r="E6764" s="1" t="s">
        <v>18</v>
      </c>
      <c r="F6764" t="str">
        <f>HYPERLINK("http://www.sec.gov/Archives/edgar/data/216228/0000216228-16-000077-index.html")</f>
        <v>http://www.sec.gov/Archives/edgar/data/216228/0000216228-16-000077-index.html</v>
      </c>
    </row>
    <row r="6765" spans="1:6" x14ac:dyDescent="0.2">
      <c r="A6765" t="s">
        <v>6213</v>
      </c>
      <c r="B6765" s="1">
        <v>315293</v>
      </c>
      <c r="C6765" s="1">
        <v>6411</v>
      </c>
      <c r="D6765" s="2">
        <v>42422</v>
      </c>
      <c r="E6765" s="1" t="s">
        <v>18</v>
      </c>
      <c r="F6765" t="str">
        <f>HYPERLINK("http://www.sec.gov/Archives/edgar/data/315293/0001628280-16-011485-index.html")</f>
        <v>http://www.sec.gov/Archives/edgar/data/315293/0001628280-16-011485-index.html</v>
      </c>
    </row>
    <row r="6766" spans="1:6" x14ac:dyDescent="0.2">
      <c r="A6766" t="s">
        <v>6214</v>
      </c>
      <c r="B6766" s="1">
        <v>350894</v>
      </c>
      <c r="C6766" s="1">
        <v>6211</v>
      </c>
      <c r="D6766" s="2">
        <v>42422</v>
      </c>
      <c r="E6766" s="1" t="s">
        <v>18</v>
      </c>
      <c r="F6766" t="str">
        <f>HYPERLINK("http://www.sec.gov/Archives/edgar/data/350894/0000350894-16-000102-index.html")</f>
        <v>http://www.sec.gov/Archives/edgar/data/350894/0000350894-16-000102-index.html</v>
      </c>
    </row>
    <row r="6767" spans="1:6" x14ac:dyDescent="0.2">
      <c r="A6767" t="s">
        <v>6215</v>
      </c>
      <c r="B6767" s="1">
        <v>354869</v>
      </c>
      <c r="C6767" s="1">
        <v>6021</v>
      </c>
      <c r="D6767" s="2">
        <v>42422</v>
      </c>
      <c r="E6767" s="1" t="s">
        <v>18</v>
      </c>
      <c r="F6767" t="str">
        <f>HYPERLINK("http://www.sec.gov/Archives/edgar/data/354869/0000354869-16-000064-index.html")</f>
        <v>http://www.sec.gov/Archives/edgar/data/354869/0000354869-16-000064-index.html</v>
      </c>
    </row>
    <row r="6768" spans="1:6" x14ac:dyDescent="0.2">
      <c r="A6768" t="s">
        <v>6216</v>
      </c>
      <c r="B6768" s="1">
        <v>354964</v>
      </c>
      <c r="C6768" s="1">
        <v>6141</v>
      </c>
      <c r="D6768" s="2">
        <v>42422</v>
      </c>
      <c r="E6768" s="1" t="s">
        <v>18</v>
      </c>
      <c r="F6768" t="str">
        <f>HYPERLINK("http://www.sec.gov/Archives/edgar/data/354964/0000354964-16-000031-index.html")</f>
        <v>http://www.sec.gov/Archives/edgar/data/354964/0000354964-16-000031-index.html</v>
      </c>
    </row>
    <row r="6769" spans="1:6" x14ac:dyDescent="0.2">
      <c r="A6769" t="s">
        <v>6217</v>
      </c>
      <c r="B6769" s="1">
        <v>37634</v>
      </c>
      <c r="C6769" s="1">
        <v>4911</v>
      </c>
      <c r="D6769" s="2">
        <v>42422</v>
      </c>
      <c r="E6769" s="1" t="s">
        <v>18</v>
      </c>
      <c r="F6769" t="str">
        <f>HYPERLINK("http://www.sec.gov/Archives/edgar/data/37634/0000753308-16-000337-index.html")</f>
        <v>http://www.sec.gov/Archives/edgar/data/37634/0000753308-16-000337-index.html</v>
      </c>
    </row>
    <row r="6770" spans="1:6" x14ac:dyDescent="0.2">
      <c r="A6770" t="s">
        <v>6218</v>
      </c>
      <c r="B6770" s="1">
        <v>51644</v>
      </c>
      <c r="C6770" s="1">
        <v>7311</v>
      </c>
      <c r="D6770" s="2">
        <v>42422</v>
      </c>
      <c r="E6770" s="1" t="s">
        <v>18</v>
      </c>
      <c r="F6770" t="str">
        <f>HYPERLINK("http://www.sec.gov/Archives/edgar/data/51644/0000051644-16-000056-index.html")</f>
        <v>http://www.sec.gov/Archives/edgar/data/51644/0000051644-16-000056-index.html</v>
      </c>
    </row>
    <row r="6771" spans="1:6" x14ac:dyDescent="0.2">
      <c r="A6771" t="s">
        <v>6219</v>
      </c>
      <c r="B6771" s="1">
        <v>56047</v>
      </c>
      <c r="C6771" s="1">
        <v>4400</v>
      </c>
      <c r="D6771" s="2">
        <v>42422</v>
      </c>
      <c r="E6771" s="1" t="s">
        <v>18</v>
      </c>
      <c r="F6771" t="str">
        <f>HYPERLINK("http://www.sec.gov/Archives/edgar/data/56047/0001140361-16-054260-index.html")</f>
        <v>http://www.sec.gov/Archives/edgar/data/56047/0001140361-16-054260-index.html</v>
      </c>
    </row>
    <row r="6772" spans="1:6" x14ac:dyDescent="0.2">
      <c r="A6772" t="s">
        <v>6220</v>
      </c>
      <c r="B6772" s="1">
        <v>66756</v>
      </c>
      <c r="C6772" s="1">
        <v>4931</v>
      </c>
      <c r="D6772" s="2">
        <v>42422</v>
      </c>
      <c r="E6772" s="1" t="s">
        <v>18</v>
      </c>
      <c r="F6772" t="str">
        <f>HYPERLINK("http://www.sec.gov/Archives/edgar/data/66756/0000066756-16-000169-index.html")</f>
        <v>http://www.sec.gov/Archives/edgar/data/66756/0000066756-16-000169-index.html</v>
      </c>
    </row>
    <row r="6773" spans="1:6" x14ac:dyDescent="0.2">
      <c r="A6773" t="s">
        <v>6221</v>
      </c>
      <c r="B6773" s="1">
        <v>70318</v>
      </c>
      <c r="C6773" s="1">
        <v>8062</v>
      </c>
      <c r="D6773" s="2">
        <v>42422</v>
      </c>
      <c r="E6773" s="1" t="s">
        <v>18</v>
      </c>
      <c r="F6773" t="str">
        <f>HYPERLINK("http://www.sec.gov/Archives/edgar/data/70318/0001558370-16-003350-index.html")</f>
        <v>http://www.sec.gov/Archives/edgar/data/70318/0001558370-16-003350-index.html</v>
      </c>
    </row>
    <row r="6774" spans="1:6" x14ac:dyDescent="0.2">
      <c r="A6774" t="s">
        <v>6222</v>
      </c>
      <c r="B6774" s="1">
        <v>708819</v>
      </c>
      <c r="C6774" s="1">
        <v>3443</v>
      </c>
      <c r="D6774" s="2">
        <v>42422</v>
      </c>
      <c r="E6774" s="1" t="s">
        <v>18</v>
      </c>
      <c r="F6774" t="str">
        <f>HYPERLINK("http://www.sec.gov/Archives/edgar/data/708819/0001564590-16-012998-index.html")</f>
        <v>http://www.sec.gov/Archives/edgar/data/708819/0001564590-16-012998-index.html</v>
      </c>
    </row>
    <row r="6775" spans="1:6" x14ac:dyDescent="0.2">
      <c r="A6775" t="s">
        <v>6223</v>
      </c>
      <c r="B6775" s="1">
        <v>72909</v>
      </c>
      <c r="C6775" s="1">
        <v>4931</v>
      </c>
      <c r="D6775" s="2">
        <v>42422</v>
      </c>
      <c r="E6775" s="1" t="s">
        <v>18</v>
      </c>
      <c r="F6775" t="str">
        <f>HYPERLINK("http://www.sec.gov/Archives/edgar/data/72909/0000072909-16-000018-index.html")</f>
        <v>http://www.sec.gov/Archives/edgar/data/72909/0000072909-16-000018-index.html</v>
      </c>
    </row>
    <row r="6776" spans="1:6" x14ac:dyDescent="0.2">
      <c r="A6776" t="s">
        <v>6224</v>
      </c>
      <c r="B6776" s="1">
        <v>7431</v>
      </c>
      <c r="C6776" s="1">
        <v>3089</v>
      </c>
      <c r="D6776" s="2">
        <v>42422</v>
      </c>
      <c r="E6776" s="1" t="s">
        <v>18</v>
      </c>
      <c r="F6776" t="str">
        <f>HYPERLINK("http://www.sec.gov/Archives/edgar/data/7431/0001193125-16-470804-index.html")</f>
        <v>http://www.sec.gov/Archives/edgar/data/7431/0001193125-16-470804-index.html</v>
      </c>
    </row>
    <row r="6777" spans="1:6" x14ac:dyDescent="0.2">
      <c r="A6777" t="s">
        <v>6225</v>
      </c>
      <c r="B6777" s="1">
        <v>753308</v>
      </c>
      <c r="C6777" s="1">
        <v>4911</v>
      </c>
      <c r="D6777" s="2">
        <v>42422</v>
      </c>
      <c r="E6777" s="1" t="s">
        <v>18</v>
      </c>
      <c r="F6777" t="str">
        <f>HYPERLINK("http://www.sec.gov/Archives/edgar/data/753308/0000753308-16-000337-index.html")</f>
        <v>http://www.sec.gov/Archives/edgar/data/753308/0000753308-16-000337-index.html</v>
      </c>
    </row>
    <row r="6778" spans="1:6" x14ac:dyDescent="0.2">
      <c r="A6778" t="s">
        <v>6226</v>
      </c>
      <c r="B6778" s="1">
        <v>768899</v>
      </c>
      <c r="C6778" s="1">
        <v>7363</v>
      </c>
      <c r="D6778" s="2">
        <v>42422</v>
      </c>
      <c r="E6778" s="1" t="s">
        <v>18</v>
      </c>
      <c r="F6778" t="str">
        <f>HYPERLINK("http://www.sec.gov/Archives/edgar/data/768899/0000768899-16-000069-index.html")</f>
        <v>http://www.sec.gov/Archives/edgar/data/768899/0000768899-16-000069-index.html</v>
      </c>
    </row>
    <row r="6779" spans="1:6" x14ac:dyDescent="0.2">
      <c r="A6779" t="s">
        <v>6227</v>
      </c>
      <c r="B6779" s="1">
        <v>777491</v>
      </c>
      <c r="C6779" s="1">
        <v>8711</v>
      </c>
      <c r="D6779" s="2">
        <v>42422</v>
      </c>
      <c r="E6779" s="1" t="s">
        <v>18</v>
      </c>
      <c r="F6779" t="str">
        <f>HYPERLINK("http://www.sec.gov/Archives/edgar/data/777491/0001558370-16-003349-index.html")</f>
        <v>http://www.sec.gov/Archives/edgar/data/777491/0001558370-16-003349-index.html</v>
      </c>
    </row>
    <row r="6780" spans="1:6" x14ac:dyDescent="0.2">
      <c r="A6780" t="s">
        <v>6228</v>
      </c>
      <c r="B6780" s="1">
        <v>77877</v>
      </c>
      <c r="C6780" s="1">
        <v>1311</v>
      </c>
      <c r="D6780" s="2">
        <v>42422</v>
      </c>
      <c r="E6780" s="1" t="s">
        <v>18</v>
      </c>
      <c r="F6780" t="str">
        <f>HYPERLINK("http://www.sec.gov/Archives/edgar/data/77877/0000077877-16-000070-index.html")</f>
        <v>http://www.sec.gov/Archives/edgar/data/77877/0000077877-16-000070-index.html</v>
      </c>
    </row>
    <row r="6781" spans="1:6" x14ac:dyDescent="0.2">
      <c r="A6781" t="s">
        <v>6229</v>
      </c>
      <c r="B6781" s="1">
        <v>78814</v>
      </c>
      <c r="C6781" s="1">
        <v>3579</v>
      </c>
      <c r="D6781" s="2">
        <v>42422</v>
      </c>
      <c r="E6781" s="1" t="s">
        <v>18</v>
      </c>
      <c r="F6781" t="str">
        <f>HYPERLINK("http://www.sec.gov/Archives/edgar/data/78814/0000078814-16-000040-index.html")</f>
        <v>http://www.sec.gov/Archives/edgar/data/78814/0000078814-16-000040-index.html</v>
      </c>
    </row>
    <row r="6782" spans="1:6" x14ac:dyDescent="0.2">
      <c r="A6782" t="s">
        <v>6230</v>
      </c>
      <c r="B6782" s="1">
        <v>81018</v>
      </c>
      <c r="C6782" s="1">
        <v>4931</v>
      </c>
      <c r="D6782" s="2">
        <v>42422</v>
      </c>
      <c r="E6782" s="1" t="s">
        <v>18</v>
      </c>
      <c r="F6782" t="str">
        <f>HYPERLINK("http://www.sec.gov/Archives/edgar/data/81018/0000081018-16-000019-index.html")</f>
        <v>http://www.sec.gov/Archives/edgar/data/81018/0000081018-16-000019-index.html</v>
      </c>
    </row>
    <row r="6783" spans="1:6" x14ac:dyDescent="0.2">
      <c r="A6783" t="s">
        <v>6231</v>
      </c>
      <c r="B6783" s="1">
        <v>811596</v>
      </c>
      <c r="C6783" s="1">
        <v>3350</v>
      </c>
      <c r="D6783" s="2">
        <v>42422</v>
      </c>
      <c r="E6783" s="1" t="s">
        <v>18</v>
      </c>
      <c r="F6783" t="str">
        <f>HYPERLINK("http://www.sec.gov/Archives/edgar/data/811596/0000811596-16-000073-index.html")</f>
        <v>http://www.sec.gov/Archives/edgar/data/811596/0000811596-16-000073-index.html</v>
      </c>
    </row>
    <row r="6784" spans="1:6" x14ac:dyDescent="0.2">
      <c r="A6784" t="s">
        <v>6232</v>
      </c>
      <c r="B6784" s="1">
        <v>83246</v>
      </c>
      <c r="C6784" s="1">
        <v>6021</v>
      </c>
      <c r="D6784" s="2">
        <v>42422</v>
      </c>
      <c r="E6784" s="1" t="s">
        <v>18</v>
      </c>
      <c r="F6784" t="str">
        <f>HYPERLINK("http://www.sec.gov/Archives/edgar/data/83246/0000083246-16-000030-index.html")</f>
        <v>http://www.sec.gov/Archives/edgar/data/83246/0000083246-16-000030-index.html</v>
      </c>
    </row>
    <row r="6785" spans="1:6" x14ac:dyDescent="0.2">
      <c r="A6785" t="s">
        <v>6233</v>
      </c>
      <c r="B6785" s="1">
        <v>858470</v>
      </c>
      <c r="C6785" s="1">
        <v>1311</v>
      </c>
      <c r="D6785" s="2">
        <v>42422</v>
      </c>
      <c r="E6785" s="1" t="s">
        <v>18</v>
      </c>
      <c r="F6785" t="str">
        <f>HYPERLINK("http://www.sec.gov/Archives/edgar/data/858470/0000858470-16-000036-index.html")</f>
        <v>http://www.sec.gov/Archives/edgar/data/858470/0000858470-16-000036-index.html</v>
      </c>
    </row>
    <row r="6786" spans="1:6" x14ac:dyDescent="0.2">
      <c r="A6786" t="s">
        <v>6234</v>
      </c>
      <c r="B6786" s="1">
        <v>871763</v>
      </c>
      <c r="C6786" s="1">
        <v>7363</v>
      </c>
      <c r="D6786" s="2">
        <v>42422</v>
      </c>
      <c r="E6786" s="1" t="s">
        <v>18</v>
      </c>
      <c r="F6786" t="str">
        <f>HYPERLINK("http://www.sec.gov/Archives/edgar/data/871763/0000871763-16-000150-index.html")</f>
        <v>http://www.sec.gov/Archives/edgar/data/871763/0000871763-16-000150-index.html</v>
      </c>
    </row>
    <row r="6787" spans="1:6" x14ac:dyDescent="0.2">
      <c r="A6787" t="s">
        <v>6235</v>
      </c>
      <c r="B6787" s="1">
        <v>884887</v>
      </c>
      <c r="C6787" s="1">
        <v>4400</v>
      </c>
      <c r="D6787" s="2">
        <v>42422</v>
      </c>
      <c r="E6787" s="1" t="s">
        <v>18</v>
      </c>
      <c r="F6787" t="str">
        <f>HYPERLINK("http://www.sec.gov/Archives/edgar/data/884887/0000884887-16-000126-index.html")</f>
        <v>http://www.sec.gov/Archives/edgar/data/884887/0000884887-16-000126-index.html</v>
      </c>
    </row>
    <row r="6788" spans="1:6" x14ac:dyDescent="0.2">
      <c r="A6788" t="s">
        <v>6236</v>
      </c>
      <c r="B6788" s="1">
        <v>886982</v>
      </c>
      <c r="C6788" s="1">
        <v>6211</v>
      </c>
      <c r="D6788" s="2">
        <v>42422</v>
      </c>
      <c r="E6788" s="1" t="s">
        <v>18</v>
      </c>
      <c r="F6788" t="str">
        <f>HYPERLINK("http://www.sec.gov/Archives/edgar/data/886982/0001193125-16-470289-index.html")</f>
        <v>http://www.sec.gov/Archives/edgar/data/886982/0001193125-16-470289-index.html</v>
      </c>
    </row>
    <row r="6789" spans="1:6" x14ac:dyDescent="0.2">
      <c r="A6789" t="s">
        <v>6237</v>
      </c>
      <c r="B6789" s="1">
        <v>887905</v>
      </c>
      <c r="C6789" s="1">
        <v>6798</v>
      </c>
      <c r="D6789" s="2">
        <v>42422</v>
      </c>
      <c r="E6789" s="1" t="s">
        <v>18</v>
      </c>
      <c r="F6789" t="str">
        <f>HYPERLINK("http://www.sec.gov/Archives/edgar/data/887905/0001558370-16-003321-index.html")</f>
        <v>http://www.sec.gov/Archives/edgar/data/887905/0001558370-16-003321-index.html</v>
      </c>
    </row>
    <row r="6790" spans="1:6" x14ac:dyDescent="0.2">
      <c r="A6790" t="s">
        <v>6238</v>
      </c>
      <c r="B6790" s="1">
        <v>914329</v>
      </c>
      <c r="C6790" s="1">
        <v>3826</v>
      </c>
      <c r="D6790" s="2">
        <v>42422</v>
      </c>
      <c r="E6790" s="1" t="s">
        <v>18</v>
      </c>
      <c r="F6790" t="str">
        <f>HYPERLINK("http://www.sec.gov/Archives/edgar/data/914329/0000914329-16-000146-index.html")</f>
        <v>http://www.sec.gov/Archives/edgar/data/914329/0000914329-16-000146-index.html</v>
      </c>
    </row>
    <row r="6791" spans="1:6" x14ac:dyDescent="0.2">
      <c r="A6791" t="s">
        <v>6239</v>
      </c>
      <c r="B6791" s="1">
        <v>919864</v>
      </c>
      <c r="C6791" s="1">
        <v>6035</v>
      </c>
      <c r="D6791" s="2">
        <v>42422</v>
      </c>
      <c r="E6791" s="1" t="s">
        <v>18</v>
      </c>
      <c r="F6791" t="str">
        <f>HYPERLINK("http://www.sec.gov/Archives/edgar/data/919864/0001144204-16-083581-index.html")</f>
        <v>http://www.sec.gov/Archives/edgar/data/919864/0001144204-16-083581-index.html</v>
      </c>
    </row>
    <row r="6792" spans="1:6" x14ac:dyDescent="0.2">
      <c r="A6792" t="s">
        <v>6240</v>
      </c>
      <c r="B6792" s="1">
        <v>92521</v>
      </c>
      <c r="C6792" s="1">
        <v>4931</v>
      </c>
      <c r="D6792" s="2">
        <v>42422</v>
      </c>
      <c r="E6792" s="1" t="s">
        <v>18</v>
      </c>
      <c r="F6792" t="str">
        <f>HYPERLINK("http://www.sec.gov/Archives/edgar/data/92521/0000092521-16-000019-index.html")</f>
        <v>http://www.sec.gov/Archives/edgar/data/92521/0000092521-16-000019-index.html</v>
      </c>
    </row>
    <row r="6793" spans="1:6" x14ac:dyDescent="0.2">
      <c r="A6793" t="s">
        <v>1583</v>
      </c>
      <c r="B6793" s="1">
        <v>925645</v>
      </c>
      <c r="C6793" s="1">
        <v>4833</v>
      </c>
      <c r="D6793" s="2">
        <v>42422</v>
      </c>
      <c r="E6793" s="1" t="s">
        <v>18</v>
      </c>
      <c r="F6793" t="str">
        <f>HYPERLINK("http://www.sec.gov/Archives/edgar/data/925645/0000925645-16-000045-index.html")</f>
        <v>http://www.sec.gov/Archives/edgar/data/925645/0000925645-16-000045-index.html</v>
      </c>
    </row>
    <row r="6794" spans="1:6" x14ac:dyDescent="0.2">
      <c r="A6794" t="s">
        <v>6241</v>
      </c>
      <c r="B6794" s="1">
        <v>929008</v>
      </c>
      <c r="C6794" s="1">
        <v>5063</v>
      </c>
      <c r="D6794" s="2">
        <v>42422</v>
      </c>
      <c r="E6794" s="1" t="s">
        <v>18</v>
      </c>
      <c r="F6794" t="str">
        <f>HYPERLINK("http://www.sec.gov/Archives/edgar/data/929008/0000929008-16-000049-index.html")</f>
        <v>http://www.sec.gov/Archives/edgar/data/929008/0000929008-16-000049-index.html</v>
      </c>
    </row>
    <row r="6795" spans="1:6" x14ac:dyDescent="0.2">
      <c r="A6795" t="s">
        <v>6242</v>
      </c>
      <c r="B6795" s="1">
        <v>931336</v>
      </c>
      <c r="C6795" s="1">
        <v>2024</v>
      </c>
      <c r="D6795" s="2">
        <v>42422</v>
      </c>
      <c r="E6795" s="1" t="s">
        <v>18</v>
      </c>
      <c r="F6795" t="str">
        <f>HYPERLINK("http://www.sec.gov/Archives/edgar/data/931336/0000931336-16-000031-index.html")</f>
        <v>http://www.sec.gov/Archives/edgar/data/931336/0000931336-16-000031-index.html</v>
      </c>
    </row>
    <row r="6796" spans="1:6" x14ac:dyDescent="0.2">
      <c r="A6796" t="s">
        <v>6243</v>
      </c>
      <c r="B6796" s="1">
        <v>931948</v>
      </c>
      <c r="C6796" s="1">
        <v>1090</v>
      </c>
      <c r="D6796" s="2">
        <v>42422</v>
      </c>
      <c r="E6796" s="1" t="s">
        <v>18</v>
      </c>
      <c r="F6796" t="str">
        <f>HYPERLINK("http://www.sec.gov/Archives/edgar/data/931948/0000931948-16-000076-index.html")</f>
        <v>http://www.sec.gov/Archives/edgar/data/931948/0000931948-16-000076-index.html</v>
      </c>
    </row>
    <row r="6797" spans="1:6" x14ac:dyDescent="0.2">
      <c r="A6797" t="s">
        <v>6244</v>
      </c>
      <c r="B6797" s="1">
        <v>93859</v>
      </c>
      <c r="C6797" s="1">
        <v>5812</v>
      </c>
      <c r="D6797" s="2">
        <v>42422</v>
      </c>
      <c r="E6797" s="1" t="s">
        <v>18</v>
      </c>
      <c r="F6797" t="str">
        <f>HYPERLINK("http://www.sec.gov/Archives/edgar/data/93859/0001415889-16-004872-index.html")</f>
        <v>http://www.sec.gov/Archives/edgar/data/93859/0001415889-16-004872-index.html</v>
      </c>
    </row>
    <row r="6798" spans="1:6" x14ac:dyDescent="0.2">
      <c r="A6798" t="s">
        <v>6245</v>
      </c>
      <c r="B6798" s="1">
        <v>945983</v>
      </c>
      <c r="C6798" s="1">
        <v>5045</v>
      </c>
      <c r="D6798" s="2">
        <v>42422</v>
      </c>
      <c r="E6798" s="1" t="s">
        <v>18</v>
      </c>
      <c r="F6798" t="str">
        <f>HYPERLINK("http://www.sec.gov/Archives/edgar/data/945983/0001104659-16-098838-index.html")</f>
        <v>http://www.sec.gov/Archives/edgar/data/945983/0001104659-16-098838-index.html</v>
      </c>
    </row>
    <row r="6799" spans="1:6" x14ac:dyDescent="0.2">
      <c r="A6799" t="s">
        <v>6246</v>
      </c>
      <c r="B6799" s="1">
        <v>97216</v>
      </c>
      <c r="C6799" s="1">
        <v>3537</v>
      </c>
      <c r="D6799" s="2">
        <v>42422</v>
      </c>
      <c r="E6799" s="1" t="s">
        <v>18</v>
      </c>
      <c r="F6799" t="str">
        <f>HYPERLINK("http://www.sec.gov/Archives/edgar/data/97216/0000097216-16-000245-index.html")</f>
        <v>http://www.sec.gov/Archives/edgar/data/97216/0000097216-16-000245-index.html</v>
      </c>
    </row>
    <row r="6800" spans="1:6" x14ac:dyDescent="0.2">
      <c r="A6800" t="s">
        <v>6247</v>
      </c>
      <c r="B6800" s="1">
        <v>1003410</v>
      </c>
      <c r="C6800" s="1">
        <v>6500</v>
      </c>
      <c r="D6800" s="2">
        <v>42419</v>
      </c>
      <c r="E6800" s="1" t="s">
        <v>18</v>
      </c>
      <c r="F6800" t="str">
        <f>HYPERLINK("http://www.sec.gov/Archives/edgar/data/1003410/0000783280-16-000080-index.html")</f>
        <v>http://www.sec.gov/Archives/edgar/data/1003410/0000783280-16-000080-index.html</v>
      </c>
    </row>
    <row r="6801" spans="1:6" x14ac:dyDescent="0.2">
      <c r="A6801" t="s">
        <v>6248</v>
      </c>
      <c r="B6801" s="1">
        <v>1013934</v>
      </c>
      <c r="C6801" s="1">
        <v>8200</v>
      </c>
      <c r="D6801" s="2">
        <v>42419</v>
      </c>
      <c r="E6801" s="1" t="s">
        <v>18</v>
      </c>
      <c r="F6801" t="str">
        <f>HYPERLINK("http://www.sec.gov/Archives/edgar/data/1013934/0001213900-16-011094-index.html")</f>
        <v>http://www.sec.gov/Archives/edgar/data/1013934/0001213900-16-011094-index.html</v>
      </c>
    </row>
    <row r="6802" spans="1:6" x14ac:dyDescent="0.2">
      <c r="A6802" t="s">
        <v>6249</v>
      </c>
      <c r="B6802" s="1">
        <v>1014473</v>
      </c>
      <c r="C6802" s="1">
        <v>7371</v>
      </c>
      <c r="D6802" s="2">
        <v>42419</v>
      </c>
      <c r="E6802" s="1" t="s">
        <v>18</v>
      </c>
      <c r="F6802" t="str">
        <f>HYPERLINK("http://www.sec.gov/Archives/edgar/data/1014473/0001014473-16-000086-index.html")</f>
        <v>http://www.sec.gov/Archives/edgar/data/1014473/0001014473-16-000086-index.html</v>
      </c>
    </row>
    <row r="6803" spans="1:6" x14ac:dyDescent="0.2">
      <c r="A6803" t="s">
        <v>6250</v>
      </c>
      <c r="B6803" s="1">
        <v>1021860</v>
      </c>
      <c r="C6803" s="1">
        <v>3533</v>
      </c>
      <c r="D6803" s="2">
        <v>42419</v>
      </c>
      <c r="E6803" s="1" t="s">
        <v>18</v>
      </c>
      <c r="F6803" t="str">
        <f>HYPERLINK("http://www.sec.gov/Archives/edgar/data/1021860/0001193125-16-469696-index.html")</f>
        <v>http://www.sec.gov/Archives/edgar/data/1021860/0001193125-16-469696-index.html</v>
      </c>
    </row>
    <row r="6804" spans="1:6" x14ac:dyDescent="0.2">
      <c r="A6804" t="s">
        <v>6251</v>
      </c>
      <c r="B6804" s="1">
        <v>1034670</v>
      </c>
      <c r="C6804" s="1">
        <v>3714</v>
      </c>
      <c r="D6804" s="2">
        <v>42419</v>
      </c>
      <c r="E6804" s="1" t="s">
        <v>18</v>
      </c>
      <c r="F6804" t="str">
        <f>HYPERLINK("http://www.sec.gov/Archives/edgar/data/1034670/0001193125-16-469305-index.html")</f>
        <v>http://www.sec.gov/Archives/edgar/data/1034670/0001193125-16-469305-index.html</v>
      </c>
    </row>
    <row r="6805" spans="1:6" x14ac:dyDescent="0.2">
      <c r="A6805" t="s">
        <v>6252</v>
      </c>
      <c r="B6805" s="1">
        <v>1038205</v>
      </c>
      <c r="C6805" s="1">
        <v>6022</v>
      </c>
      <c r="D6805" s="2">
        <v>42419</v>
      </c>
      <c r="E6805" s="1" t="s">
        <v>18</v>
      </c>
      <c r="F6805" t="str">
        <f>HYPERLINK("http://www.sec.gov/Archives/edgar/data/1038205/0001564590-16-012932-index.html")</f>
        <v>http://www.sec.gov/Archives/edgar/data/1038205/0001564590-16-012932-index.html</v>
      </c>
    </row>
    <row r="6806" spans="1:6" x14ac:dyDescent="0.2">
      <c r="A6806" t="s">
        <v>6253</v>
      </c>
      <c r="B6806" s="1">
        <v>1038357</v>
      </c>
      <c r="C6806" s="1">
        <v>1311</v>
      </c>
      <c r="D6806" s="2">
        <v>42419</v>
      </c>
      <c r="E6806" s="1" t="s">
        <v>18</v>
      </c>
      <c r="F6806" t="str">
        <f>HYPERLINK("http://www.sec.gov/Archives/edgar/data/1038357/0001038357-16-000101-index.html")</f>
        <v>http://www.sec.gov/Archives/edgar/data/1038357/0001038357-16-000101-index.html</v>
      </c>
    </row>
    <row r="6807" spans="1:6" x14ac:dyDescent="0.2">
      <c r="A6807" t="s">
        <v>6254</v>
      </c>
      <c r="B6807" s="1">
        <v>1043604</v>
      </c>
      <c r="C6807" s="1">
        <v>3576</v>
      </c>
      <c r="D6807" s="2">
        <v>42419</v>
      </c>
      <c r="E6807" s="1" t="s">
        <v>18</v>
      </c>
      <c r="F6807" t="str">
        <f>HYPERLINK("http://www.sec.gov/Archives/edgar/data/1043604/0001043604-16-000219-index.html")</f>
        <v>http://www.sec.gov/Archives/edgar/data/1043604/0001043604-16-000219-index.html</v>
      </c>
    </row>
    <row r="6808" spans="1:6" x14ac:dyDescent="0.2">
      <c r="A6808" t="s">
        <v>6255</v>
      </c>
      <c r="B6808" s="1">
        <v>1045609</v>
      </c>
      <c r="C6808" s="1">
        <v>6798</v>
      </c>
      <c r="D6808" s="2">
        <v>42419</v>
      </c>
      <c r="E6808" s="1" t="s">
        <v>18</v>
      </c>
      <c r="F6808" t="str">
        <f>HYPERLINK("http://www.sec.gov/Archives/edgar/data/1045609/0001564590-16-012933-index.html")</f>
        <v>http://www.sec.gov/Archives/edgar/data/1045609/0001564590-16-012933-index.html</v>
      </c>
    </row>
    <row r="6809" spans="1:6" x14ac:dyDescent="0.2">
      <c r="A6809" t="s">
        <v>6256</v>
      </c>
      <c r="B6809" s="1">
        <v>1045610</v>
      </c>
      <c r="C6809" s="1">
        <v>6500</v>
      </c>
      <c r="D6809" s="2">
        <v>42419</v>
      </c>
      <c r="E6809" s="1" t="s">
        <v>18</v>
      </c>
      <c r="F6809" t="str">
        <f>HYPERLINK("http://www.sec.gov/Archives/edgar/data/1045610/0001564590-16-012933-index.html")</f>
        <v>http://www.sec.gov/Archives/edgar/data/1045610/0001564590-16-012933-index.html</v>
      </c>
    </row>
    <row r="6810" spans="1:6" x14ac:dyDescent="0.2">
      <c r="A6810" t="s">
        <v>6257</v>
      </c>
      <c r="B6810" s="1">
        <v>1046257</v>
      </c>
      <c r="C6810" s="1">
        <v>2040</v>
      </c>
      <c r="D6810" s="2">
        <v>42419</v>
      </c>
      <c r="E6810" s="1" t="s">
        <v>18</v>
      </c>
      <c r="F6810" t="str">
        <f>HYPERLINK("http://www.sec.gov/Archives/edgar/data/1046257/0001104659-16-098429-index.html")</f>
        <v>http://www.sec.gov/Archives/edgar/data/1046257/0001104659-16-098429-index.html</v>
      </c>
    </row>
    <row r="6811" spans="1:6" x14ac:dyDescent="0.2">
      <c r="A6811" t="s">
        <v>6258</v>
      </c>
      <c r="B6811" s="1">
        <v>1047335</v>
      </c>
      <c r="C6811" s="1">
        <v>8051</v>
      </c>
      <c r="D6811" s="2">
        <v>42419</v>
      </c>
      <c r="E6811" s="1" t="s">
        <v>18</v>
      </c>
      <c r="F6811" t="str">
        <f>HYPERLINK("http://www.sec.gov/Archives/edgar/data/1047335/0001047335-16-000180-index.html")</f>
        <v>http://www.sec.gov/Archives/edgar/data/1047335/0001047335-16-000180-index.html</v>
      </c>
    </row>
    <row r="6812" spans="1:6" x14ac:dyDescent="0.2">
      <c r="A6812" t="s">
        <v>6259</v>
      </c>
      <c r="B6812" s="1">
        <v>1060736</v>
      </c>
      <c r="C6812" s="1">
        <v>2836</v>
      </c>
      <c r="D6812" s="2">
        <v>42419</v>
      </c>
      <c r="E6812" s="1" t="s">
        <v>18</v>
      </c>
      <c r="F6812" t="str">
        <f>HYPERLINK("http://www.sec.gov/Archives/edgar/data/1060736/0001193125-16-470022-index.html")</f>
        <v>http://www.sec.gov/Archives/edgar/data/1060736/0001193125-16-470022-index.html</v>
      </c>
    </row>
    <row r="6813" spans="1:6" x14ac:dyDescent="0.2">
      <c r="A6813" t="s">
        <v>6260</v>
      </c>
      <c r="B6813" s="1">
        <v>108772</v>
      </c>
      <c r="C6813" s="1">
        <v>7389</v>
      </c>
      <c r="D6813" s="2">
        <v>42419</v>
      </c>
      <c r="E6813" s="1" t="s">
        <v>18</v>
      </c>
      <c r="F6813" t="str">
        <f>HYPERLINK("http://www.sec.gov/Archives/edgar/data/108772/0000108772-16-000040-index.html")</f>
        <v>http://www.sec.gov/Archives/edgar/data/108772/0000108772-16-000040-index.html</v>
      </c>
    </row>
    <row r="6814" spans="1:6" x14ac:dyDescent="0.2">
      <c r="A6814" t="s">
        <v>6261</v>
      </c>
      <c r="B6814" s="1">
        <v>1094392</v>
      </c>
      <c r="C6814" s="1">
        <v>3823</v>
      </c>
      <c r="D6814" s="2">
        <v>42419</v>
      </c>
      <c r="E6814" s="1" t="s">
        <v>18</v>
      </c>
      <c r="F6814" t="str">
        <f>HYPERLINK("http://www.sec.gov/Archives/edgar/data/1094392/0001094392-16-000047-index.html")</f>
        <v>http://www.sec.gov/Archives/edgar/data/1094392/0001094392-16-000047-index.html</v>
      </c>
    </row>
    <row r="6815" spans="1:6" x14ac:dyDescent="0.2">
      <c r="A6815" t="s">
        <v>6262</v>
      </c>
      <c r="B6815" s="1">
        <v>1099800</v>
      </c>
      <c r="C6815" s="1">
        <v>3842</v>
      </c>
      <c r="D6815" s="2">
        <v>42419</v>
      </c>
      <c r="E6815" s="1" t="s">
        <v>18</v>
      </c>
      <c r="F6815" t="str">
        <f>HYPERLINK("http://www.sec.gov/Archives/edgar/data/1099800/0001099800-16-000044-index.html")</f>
        <v>http://www.sec.gov/Archives/edgar/data/1099800/0001099800-16-000044-index.html</v>
      </c>
    </row>
    <row r="6816" spans="1:6" x14ac:dyDescent="0.2">
      <c r="A6816" t="s">
        <v>6263</v>
      </c>
      <c r="B6816" s="1">
        <v>1102541</v>
      </c>
      <c r="C6816" s="1">
        <v>7370</v>
      </c>
      <c r="D6816" s="2">
        <v>42419</v>
      </c>
      <c r="E6816" s="1" t="s">
        <v>18</v>
      </c>
      <c r="F6816" t="str">
        <f>HYPERLINK("http://www.sec.gov/Archives/edgar/data/1102541/0001102541-16-000040-index.html")</f>
        <v>http://www.sec.gov/Archives/edgar/data/1102541/0001102541-16-000040-index.html</v>
      </c>
    </row>
    <row r="6817" spans="1:6" x14ac:dyDescent="0.2">
      <c r="A6817" t="s">
        <v>6264</v>
      </c>
      <c r="B6817" s="1">
        <v>1103837</v>
      </c>
      <c r="C6817" s="1">
        <v>4841</v>
      </c>
      <c r="D6817" s="2">
        <v>42419</v>
      </c>
      <c r="E6817" s="1" t="s">
        <v>18</v>
      </c>
      <c r="F6817" t="str">
        <f>HYPERLINK("http://www.sec.gov/Archives/edgar/data/1103837/0001558370-16-003295-index.html")</f>
        <v>http://www.sec.gov/Archives/edgar/data/1103837/0001558370-16-003295-index.html</v>
      </c>
    </row>
    <row r="6818" spans="1:6" x14ac:dyDescent="0.2">
      <c r="A6818" t="s">
        <v>6265</v>
      </c>
      <c r="B6818" s="1">
        <v>1103982</v>
      </c>
      <c r="C6818" s="1">
        <v>2000</v>
      </c>
      <c r="D6818" s="2">
        <v>42419</v>
      </c>
      <c r="E6818" s="1" t="s">
        <v>18</v>
      </c>
      <c r="F6818" t="str">
        <f>HYPERLINK("http://www.sec.gov/Archives/edgar/data/1103982/0001193125-16-469394-index.html")</f>
        <v>http://www.sec.gov/Archives/edgar/data/1103982/0001193125-16-469394-index.html</v>
      </c>
    </row>
    <row r="6819" spans="1:6" x14ac:dyDescent="0.2">
      <c r="A6819" t="s">
        <v>6266</v>
      </c>
      <c r="B6819" s="1">
        <v>1112372</v>
      </c>
      <c r="C6819" s="1">
        <v>3841</v>
      </c>
      <c r="D6819" s="2">
        <v>42419</v>
      </c>
      <c r="E6819" s="1" t="s">
        <v>18</v>
      </c>
      <c r="F6819" t="str">
        <f>HYPERLINK("http://www.sec.gov/Archives/edgar/data/1112372/0001213900-16-011073-index.html")</f>
        <v>http://www.sec.gov/Archives/edgar/data/1112372/0001213900-16-011073-index.html</v>
      </c>
    </row>
    <row r="6820" spans="1:6" x14ac:dyDescent="0.2">
      <c r="A6820" t="s">
        <v>6267</v>
      </c>
      <c r="B6820" s="1">
        <v>11199</v>
      </c>
      <c r="C6820" s="1">
        <v>2670</v>
      </c>
      <c r="D6820" s="2">
        <v>42419</v>
      </c>
      <c r="E6820" s="1" t="s">
        <v>18</v>
      </c>
      <c r="F6820" t="str">
        <f>HYPERLINK("http://www.sec.gov/Archives/edgar/data/11199/0000011199-16-000036-index.html")</f>
        <v>http://www.sec.gov/Archives/edgar/data/11199/0000011199-16-000036-index.html</v>
      </c>
    </row>
    <row r="6821" spans="1:6" x14ac:dyDescent="0.2">
      <c r="A6821" t="s">
        <v>6268</v>
      </c>
      <c r="B6821" s="1">
        <v>1122304</v>
      </c>
      <c r="C6821" s="1">
        <v>6324</v>
      </c>
      <c r="D6821" s="2">
        <v>42419</v>
      </c>
      <c r="E6821" s="1" t="s">
        <v>18</v>
      </c>
      <c r="F6821" t="str">
        <f>HYPERLINK("http://www.sec.gov/Archives/edgar/data/1122304/0001122304-16-000201-index.html")</f>
        <v>http://www.sec.gov/Archives/edgar/data/1122304/0001122304-16-000201-index.html</v>
      </c>
    </row>
    <row r="6822" spans="1:6" x14ac:dyDescent="0.2">
      <c r="A6822" t="s">
        <v>6269</v>
      </c>
      <c r="B6822" s="1">
        <v>1122904</v>
      </c>
      <c r="C6822" s="1">
        <v>3661</v>
      </c>
      <c r="D6822" s="2">
        <v>42419</v>
      </c>
      <c r="E6822" s="1" t="s">
        <v>18</v>
      </c>
      <c r="F6822" t="str">
        <f>HYPERLINK("http://www.sec.gov/Archives/edgar/data/1122904/0001122904-16-000134-index.html")</f>
        <v>http://www.sec.gov/Archives/edgar/data/1122904/0001122904-16-000134-index.html</v>
      </c>
    </row>
    <row r="6823" spans="1:6" x14ac:dyDescent="0.2">
      <c r="A6823" t="s">
        <v>6270</v>
      </c>
      <c r="B6823" s="1">
        <v>1126975</v>
      </c>
      <c r="C6823" s="1">
        <v>4610</v>
      </c>
      <c r="D6823" s="2">
        <v>42419</v>
      </c>
      <c r="E6823" s="1" t="s">
        <v>18</v>
      </c>
      <c r="F6823" t="str">
        <f>HYPERLINK("http://www.sec.gov/Archives/edgar/data/1126975/0001126975-16-000223-index.html")</f>
        <v>http://www.sec.gov/Archives/edgar/data/1126975/0001126975-16-000223-index.html</v>
      </c>
    </row>
    <row r="6824" spans="1:6" x14ac:dyDescent="0.2">
      <c r="A6824" t="s">
        <v>6271</v>
      </c>
      <c r="B6824" s="1">
        <v>1135971</v>
      </c>
      <c r="C6824" s="1">
        <v>4931</v>
      </c>
      <c r="D6824" s="2">
        <v>42419</v>
      </c>
      <c r="E6824" s="1" t="s">
        <v>18</v>
      </c>
      <c r="F6824" t="str">
        <f>HYPERLINK("http://www.sec.gov/Archives/edgar/data/1135971/0001193125-16-468556-index.html")</f>
        <v>http://www.sec.gov/Archives/edgar/data/1135971/0001193125-16-468556-index.html</v>
      </c>
    </row>
    <row r="6825" spans="1:6" x14ac:dyDescent="0.2">
      <c r="A6825" t="s">
        <v>6272</v>
      </c>
      <c r="B6825" s="1">
        <v>1137774</v>
      </c>
      <c r="C6825" s="1">
        <v>6311</v>
      </c>
      <c r="D6825" s="2">
        <v>42419</v>
      </c>
      <c r="E6825" s="1" t="s">
        <v>18</v>
      </c>
      <c r="F6825" t="str">
        <f>HYPERLINK("http://www.sec.gov/Archives/edgar/data/1137774/0001137774-16-000226-index.html")</f>
        <v>http://www.sec.gov/Archives/edgar/data/1137774/0001137774-16-000226-index.html</v>
      </c>
    </row>
    <row r="6826" spans="1:6" x14ac:dyDescent="0.2">
      <c r="A6826" t="s">
        <v>6273</v>
      </c>
      <c r="B6826" s="1">
        <v>1139812</v>
      </c>
      <c r="C6826" s="1">
        <v>6021</v>
      </c>
      <c r="D6826" s="2">
        <v>42419</v>
      </c>
      <c r="E6826" s="1" t="s">
        <v>18</v>
      </c>
      <c r="F6826" t="str">
        <f>HYPERLINK("http://www.sec.gov/Archives/edgar/data/1139812/0001139812-16-000048-index.html")</f>
        <v>http://www.sec.gov/Archives/edgar/data/1139812/0001139812-16-000048-index.html</v>
      </c>
    </row>
    <row r="6827" spans="1:6" x14ac:dyDescent="0.2">
      <c r="A6827" t="s">
        <v>6274</v>
      </c>
      <c r="B6827" s="1">
        <v>1144980</v>
      </c>
      <c r="C6827" s="1">
        <v>5500</v>
      </c>
      <c r="D6827" s="2">
        <v>42419</v>
      </c>
      <c r="E6827" s="1" t="s">
        <v>18</v>
      </c>
      <c r="F6827" t="str">
        <f>HYPERLINK("http://www.sec.gov/Archives/edgar/data/1144980/0001144980-16-000161-index.html")</f>
        <v>http://www.sec.gov/Archives/edgar/data/1144980/0001144980-16-000161-index.html</v>
      </c>
    </row>
    <row r="6828" spans="1:6" x14ac:dyDescent="0.2">
      <c r="A6828" t="s">
        <v>6275</v>
      </c>
      <c r="B6828" s="1">
        <v>1156039</v>
      </c>
      <c r="C6828" s="1">
        <v>6324</v>
      </c>
      <c r="D6828" s="2">
        <v>42419</v>
      </c>
      <c r="E6828" s="1" t="s">
        <v>18</v>
      </c>
      <c r="F6828" t="str">
        <f>HYPERLINK("http://www.sec.gov/Archives/edgar/data/1156039/0001156039-16-000018-index.html")</f>
        <v>http://www.sec.gov/Archives/edgar/data/1156039/0001156039-16-000018-index.html</v>
      </c>
    </row>
    <row r="6829" spans="1:6" x14ac:dyDescent="0.2">
      <c r="A6829" t="s">
        <v>6276</v>
      </c>
      <c r="B6829" s="1">
        <v>1159167</v>
      </c>
      <c r="C6829" s="1">
        <v>3630</v>
      </c>
      <c r="D6829" s="2">
        <v>42419</v>
      </c>
      <c r="E6829" s="1" t="s">
        <v>18</v>
      </c>
      <c r="F6829" t="str">
        <f>HYPERLINK("http://www.sec.gov/Archives/edgar/data/1159167/0001159167-16-000057-index.html")</f>
        <v>http://www.sec.gov/Archives/edgar/data/1159167/0001159167-16-000057-index.html</v>
      </c>
    </row>
    <row r="6830" spans="1:6" x14ac:dyDescent="0.2">
      <c r="A6830" t="s">
        <v>6277</v>
      </c>
      <c r="B6830" s="1">
        <v>1170991</v>
      </c>
      <c r="C6830" s="1">
        <v>6798</v>
      </c>
      <c r="D6830" s="2">
        <v>42419</v>
      </c>
      <c r="E6830" s="1" t="s">
        <v>18</v>
      </c>
      <c r="F6830" t="str">
        <f>HYPERLINK("http://www.sec.gov/Archives/edgar/data/1170991/0001564590-16-012924-index.html")</f>
        <v>http://www.sec.gov/Archives/edgar/data/1170991/0001564590-16-012924-index.html</v>
      </c>
    </row>
    <row r="6831" spans="1:6" x14ac:dyDescent="0.2">
      <c r="A6831" t="s">
        <v>6278</v>
      </c>
      <c r="B6831" s="1">
        <v>1171759</v>
      </c>
      <c r="C6831" s="1">
        <v>5812</v>
      </c>
      <c r="D6831" s="2">
        <v>42419</v>
      </c>
      <c r="E6831" s="1" t="s">
        <v>18</v>
      </c>
      <c r="F6831" t="str">
        <f>HYPERLINK("http://www.sec.gov/Archives/edgar/data/1171759/0001171759-16-000014-index.html")</f>
        <v>http://www.sec.gov/Archives/edgar/data/1171759/0001171759-16-000014-index.html</v>
      </c>
    </row>
    <row r="6832" spans="1:6" x14ac:dyDescent="0.2">
      <c r="A6832" t="s">
        <v>6279</v>
      </c>
      <c r="B6832" s="1">
        <v>1224608</v>
      </c>
      <c r="C6832" s="1">
        <v>6321</v>
      </c>
      <c r="D6832" s="2">
        <v>42419</v>
      </c>
      <c r="E6832" s="1" t="s">
        <v>18</v>
      </c>
      <c r="F6832" t="str">
        <f>HYPERLINK("http://www.sec.gov/Archives/edgar/data/1224608/0001224608-16-000053-index.html")</f>
        <v>http://www.sec.gov/Archives/edgar/data/1224608/0001224608-16-000053-index.html</v>
      </c>
    </row>
    <row r="6833" spans="1:6" x14ac:dyDescent="0.2">
      <c r="A6833" t="s">
        <v>6280</v>
      </c>
      <c r="B6833" s="1">
        <v>1267395</v>
      </c>
      <c r="C6833" s="1">
        <v>6331</v>
      </c>
      <c r="D6833" s="2">
        <v>42419</v>
      </c>
      <c r="E6833" s="1" t="s">
        <v>18</v>
      </c>
      <c r="F6833" t="str">
        <f>HYPERLINK("http://www.sec.gov/Archives/edgar/data/1267395/0001267395-16-000081-index.html")</f>
        <v>http://www.sec.gov/Archives/edgar/data/1267395/0001267395-16-000081-index.html</v>
      </c>
    </row>
    <row r="6834" spans="1:6" x14ac:dyDescent="0.2">
      <c r="A6834" t="s">
        <v>6281</v>
      </c>
      <c r="B6834" s="1">
        <v>1285785</v>
      </c>
      <c r="C6834" s="1">
        <v>2870</v>
      </c>
      <c r="D6834" s="2">
        <v>42419</v>
      </c>
      <c r="E6834" s="1" t="s">
        <v>18</v>
      </c>
      <c r="F6834" t="str">
        <f>HYPERLINK("http://www.sec.gov/Archives/edgar/data/1285785/0001618034-16-000025-index.html")</f>
        <v>http://www.sec.gov/Archives/edgar/data/1285785/0001618034-16-000025-index.html</v>
      </c>
    </row>
    <row r="6835" spans="1:6" x14ac:dyDescent="0.2">
      <c r="A6835" t="s">
        <v>6282</v>
      </c>
      <c r="B6835" s="1">
        <v>1298675</v>
      </c>
      <c r="C6835" s="1">
        <v>6798</v>
      </c>
      <c r="D6835" s="2">
        <v>42419</v>
      </c>
      <c r="E6835" s="1" t="s">
        <v>18</v>
      </c>
      <c r="F6835" t="str">
        <f>HYPERLINK("http://www.sec.gov/Archives/edgar/data/1298675/0001558370-16-003304-index.html")</f>
        <v>http://www.sec.gov/Archives/edgar/data/1298675/0001558370-16-003304-index.html</v>
      </c>
    </row>
    <row r="6836" spans="1:6" x14ac:dyDescent="0.2">
      <c r="A6836" t="s">
        <v>6283</v>
      </c>
      <c r="B6836" s="1">
        <v>1300485</v>
      </c>
      <c r="C6836" s="1">
        <v>6798</v>
      </c>
      <c r="D6836" s="2">
        <v>42419</v>
      </c>
      <c r="E6836" s="1" t="s">
        <v>18</v>
      </c>
      <c r="F6836" t="str">
        <f>HYPERLINK("http://www.sec.gov/Archives/edgar/data/1300485/0001558370-16-003304-index.html")</f>
        <v>http://www.sec.gov/Archives/edgar/data/1300485/0001558370-16-003304-index.html</v>
      </c>
    </row>
    <row r="6837" spans="1:6" x14ac:dyDescent="0.2">
      <c r="A6837" t="s">
        <v>6284</v>
      </c>
      <c r="B6837" s="1">
        <v>1336047</v>
      </c>
      <c r="C6837" s="1">
        <v>4922</v>
      </c>
      <c r="D6837" s="2">
        <v>42419</v>
      </c>
      <c r="E6837" s="1" t="s">
        <v>18</v>
      </c>
      <c r="F6837" t="str">
        <f>HYPERLINK("http://www.sec.gov/Archives/edgar/data/1336047/0001336047-16-000111-index.html")</f>
        <v>http://www.sec.gov/Archives/edgar/data/1336047/0001336047-16-000111-index.html</v>
      </c>
    </row>
    <row r="6838" spans="1:6" x14ac:dyDescent="0.2">
      <c r="A6838" t="s">
        <v>6285</v>
      </c>
      <c r="B6838" s="1">
        <v>1355754</v>
      </c>
      <c r="C6838" s="1">
        <v>7372</v>
      </c>
      <c r="D6838" s="2">
        <v>42419</v>
      </c>
      <c r="E6838" s="1" t="s">
        <v>18</v>
      </c>
      <c r="F6838" t="str">
        <f>HYPERLINK("http://www.sec.gov/Archives/edgar/data/1355754/0001564590-16-012934-index.html")</f>
        <v>http://www.sec.gov/Archives/edgar/data/1355754/0001564590-16-012934-index.html</v>
      </c>
    </row>
    <row r="6839" spans="1:6" x14ac:dyDescent="0.2">
      <c r="A6839" t="s">
        <v>6286</v>
      </c>
      <c r="B6839" s="1">
        <v>1364250</v>
      </c>
      <c r="C6839" s="1">
        <v>6798</v>
      </c>
      <c r="D6839" s="2">
        <v>42419</v>
      </c>
      <c r="E6839" s="1" t="s">
        <v>18</v>
      </c>
      <c r="F6839" t="str">
        <f>HYPERLINK("http://www.sec.gov/Archives/edgar/data/1364250/0001364250-16-000048-index.html")</f>
        <v>http://www.sec.gov/Archives/edgar/data/1364250/0001364250-16-000048-index.html</v>
      </c>
    </row>
    <row r="6840" spans="1:6" x14ac:dyDescent="0.2">
      <c r="A6840" t="s">
        <v>6287</v>
      </c>
      <c r="B6840" s="1">
        <v>1365135</v>
      </c>
      <c r="C6840" s="1">
        <v>7389</v>
      </c>
      <c r="D6840" s="2">
        <v>42419</v>
      </c>
      <c r="E6840" s="1" t="s">
        <v>18</v>
      </c>
      <c r="F6840" t="str">
        <f>HYPERLINK("http://www.sec.gov/Archives/edgar/data/1365135/0001365135-16-000062-index.html")</f>
        <v>http://www.sec.gov/Archives/edgar/data/1365135/0001365135-16-000062-index.html</v>
      </c>
    </row>
    <row r="6841" spans="1:6" x14ac:dyDescent="0.2">
      <c r="A6841" t="s">
        <v>6288</v>
      </c>
      <c r="B6841" s="1">
        <v>1374310</v>
      </c>
      <c r="C6841" s="1">
        <v>6200</v>
      </c>
      <c r="D6841" s="2">
        <v>42419</v>
      </c>
      <c r="E6841" s="1" t="s">
        <v>18</v>
      </c>
      <c r="F6841" t="str">
        <f>HYPERLINK("http://www.sec.gov/Archives/edgar/data/1374310/0001374310-16-000038-index.html")</f>
        <v>http://www.sec.gov/Archives/edgar/data/1374310/0001374310-16-000038-index.html</v>
      </c>
    </row>
    <row r="6842" spans="1:6" x14ac:dyDescent="0.2">
      <c r="A6842" t="s">
        <v>6289</v>
      </c>
      <c r="B6842" s="1">
        <v>1376139</v>
      </c>
      <c r="C6842" s="1">
        <v>2911</v>
      </c>
      <c r="D6842" s="2">
        <v>42419</v>
      </c>
      <c r="E6842" s="1" t="s">
        <v>18</v>
      </c>
      <c r="F6842" t="str">
        <f>HYPERLINK("http://www.sec.gov/Archives/edgar/data/1376139/0001376139-16-000084-index.html")</f>
        <v>http://www.sec.gov/Archives/edgar/data/1376139/0001376139-16-000084-index.html</v>
      </c>
    </row>
    <row r="6843" spans="1:6" x14ac:dyDescent="0.2">
      <c r="A6843" t="s">
        <v>6290</v>
      </c>
      <c r="B6843" s="1">
        <v>1379041</v>
      </c>
      <c r="C6843" s="1">
        <v>6331</v>
      </c>
      <c r="D6843" s="2">
        <v>42419</v>
      </c>
      <c r="E6843" s="1" t="s">
        <v>18</v>
      </c>
      <c r="F6843" t="str">
        <f>HYPERLINK("http://www.sec.gov/Archives/edgar/data/1379041/0001379041-16-000232-index.html")</f>
        <v>http://www.sec.gov/Archives/edgar/data/1379041/0001379041-16-000232-index.html</v>
      </c>
    </row>
    <row r="6844" spans="1:6" x14ac:dyDescent="0.2">
      <c r="A6844" t="s">
        <v>6291</v>
      </c>
      <c r="B6844" s="1">
        <v>1379714</v>
      </c>
      <c r="C6844" s="1">
        <v>4924</v>
      </c>
      <c r="D6844" s="2">
        <v>42419</v>
      </c>
      <c r="E6844" s="1" t="s">
        <v>18</v>
      </c>
      <c r="F6844" t="str">
        <f>HYPERLINK("http://www.sec.gov/Archives/edgar/data/1379714/0001379714-16-000033-index.html")</f>
        <v>http://www.sec.gov/Archives/edgar/data/1379714/0001379714-16-000033-index.html</v>
      </c>
    </row>
    <row r="6845" spans="1:6" x14ac:dyDescent="0.2">
      <c r="A6845" t="s">
        <v>6292</v>
      </c>
      <c r="B6845" s="1">
        <v>1383650</v>
      </c>
      <c r="C6845" s="1">
        <v>4924</v>
      </c>
      <c r="D6845" s="2">
        <v>42419</v>
      </c>
      <c r="E6845" s="1" t="s">
        <v>18</v>
      </c>
      <c r="F6845" t="str">
        <f>HYPERLINK("http://www.sec.gov/Archives/edgar/data/1383650/0001383650-16-000087-index.html")</f>
        <v>http://www.sec.gov/Archives/edgar/data/1383650/0001383650-16-000087-index.html</v>
      </c>
    </row>
    <row r="6846" spans="1:6" x14ac:dyDescent="0.2">
      <c r="A6846" t="s">
        <v>6293</v>
      </c>
      <c r="B6846" s="1">
        <v>1385329</v>
      </c>
      <c r="C6846" s="1">
        <v>1000</v>
      </c>
      <c r="D6846" s="2">
        <v>42419</v>
      </c>
      <c r="E6846" s="1" t="s">
        <v>18</v>
      </c>
      <c r="F6846" t="str">
        <f>HYPERLINK("http://www.sec.gov/Archives/edgar/data/1385329/0001477932-16-008721-index.html")</f>
        <v>http://www.sec.gov/Archives/edgar/data/1385329/0001477932-16-008721-index.html</v>
      </c>
    </row>
    <row r="6847" spans="1:6" x14ac:dyDescent="0.2">
      <c r="A6847" t="s">
        <v>6294</v>
      </c>
      <c r="B6847" s="1">
        <v>1392972</v>
      </c>
      <c r="C6847" s="1">
        <v>7371</v>
      </c>
      <c r="D6847" s="2">
        <v>42419</v>
      </c>
      <c r="E6847" s="1" t="s">
        <v>18</v>
      </c>
      <c r="F6847" t="str">
        <f>HYPERLINK("http://www.sec.gov/Archives/edgar/data/1392972/0001392972-16-000143-index.html")</f>
        <v>http://www.sec.gov/Archives/edgar/data/1392972/0001392972-16-000143-index.html</v>
      </c>
    </row>
    <row r="6848" spans="1:6" x14ac:dyDescent="0.2">
      <c r="A6848" t="s">
        <v>6295</v>
      </c>
      <c r="B6848" s="1">
        <v>1394319</v>
      </c>
      <c r="C6848" s="1">
        <v>2836</v>
      </c>
      <c r="D6848" s="2">
        <v>42419</v>
      </c>
      <c r="E6848" s="1" t="s">
        <v>18</v>
      </c>
      <c r="F6848" t="str">
        <f>HYPERLINK("http://www.sec.gov/Archives/edgar/data/1394319/0001558370-16-003288-index.html")</f>
        <v>http://www.sec.gov/Archives/edgar/data/1394319/0001558370-16-003288-index.html</v>
      </c>
    </row>
    <row r="6849" spans="1:6" x14ac:dyDescent="0.2">
      <c r="A6849" t="s">
        <v>6296</v>
      </c>
      <c r="B6849" s="1">
        <v>1407739</v>
      </c>
      <c r="C6849" s="1">
        <v>6500</v>
      </c>
      <c r="D6849" s="2">
        <v>42419</v>
      </c>
      <c r="E6849" s="1" t="s">
        <v>18</v>
      </c>
      <c r="F6849" t="str">
        <f>HYPERLINK("http://www.sec.gov/Archives/edgar/data/1407739/0001407739-16-000178-index.html")</f>
        <v>http://www.sec.gov/Archives/edgar/data/1407739/0001407739-16-000178-index.html</v>
      </c>
    </row>
    <row r="6850" spans="1:6" x14ac:dyDescent="0.2">
      <c r="A6850" t="s">
        <v>6297</v>
      </c>
      <c r="B6850" s="1">
        <v>1411207</v>
      </c>
      <c r="C6850" s="1">
        <v>3714</v>
      </c>
      <c r="D6850" s="2">
        <v>42419</v>
      </c>
      <c r="E6850" s="1" t="s">
        <v>18</v>
      </c>
      <c r="F6850" t="str">
        <f>HYPERLINK("http://www.sec.gov/Archives/edgar/data/1411207/0001193125-16-469168-index.html")</f>
        <v>http://www.sec.gov/Archives/edgar/data/1411207/0001193125-16-469168-index.html</v>
      </c>
    </row>
    <row r="6851" spans="1:6" x14ac:dyDescent="0.2">
      <c r="A6851" t="s">
        <v>6298</v>
      </c>
      <c r="B6851" s="1">
        <v>1418175</v>
      </c>
      <c r="C6851" s="1">
        <v>6798</v>
      </c>
      <c r="D6851" s="2">
        <v>42419</v>
      </c>
      <c r="E6851" s="1" t="s">
        <v>18</v>
      </c>
      <c r="F6851" t="str">
        <f>HYPERLINK("http://www.sec.gov/Archives/edgar/data/1418175/0001407739-16-000178-index.html")</f>
        <v>http://www.sec.gov/Archives/edgar/data/1418175/0001407739-16-000178-index.html</v>
      </c>
    </row>
    <row r="6852" spans="1:6" x14ac:dyDescent="0.2">
      <c r="A6852" t="s">
        <v>6299</v>
      </c>
      <c r="B6852" s="1">
        <v>1420302</v>
      </c>
      <c r="C6852" s="1">
        <v>7372</v>
      </c>
      <c r="D6852" s="2">
        <v>42419</v>
      </c>
      <c r="E6852" s="1" t="s">
        <v>18</v>
      </c>
      <c r="F6852" t="str">
        <f>HYPERLINK("http://www.sec.gov/Archives/edgar/data/1420302/0001193125-16-469163-index.html")</f>
        <v>http://www.sec.gov/Archives/edgar/data/1420302/0001193125-16-469163-index.html</v>
      </c>
    </row>
    <row r="6853" spans="1:6" x14ac:dyDescent="0.2">
      <c r="A6853" t="s">
        <v>6300</v>
      </c>
      <c r="B6853" s="1">
        <v>1430592</v>
      </c>
      <c r="C6853" s="1">
        <v>6282</v>
      </c>
      <c r="D6853" s="2">
        <v>42419</v>
      </c>
      <c r="E6853" s="1" t="s">
        <v>18</v>
      </c>
      <c r="F6853" t="str">
        <f>HYPERLINK("http://www.sec.gov/Archives/edgar/data/1430592/0001564590-16-012937-index.html")</f>
        <v>http://www.sec.gov/Archives/edgar/data/1430592/0001564590-16-012937-index.html</v>
      </c>
    </row>
    <row r="6854" spans="1:6" x14ac:dyDescent="0.2">
      <c r="A6854" t="s">
        <v>6301</v>
      </c>
      <c r="B6854" s="1">
        <v>1436229</v>
      </c>
      <c r="C6854" s="1">
        <v>7372</v>
      </c>
      <c r="D6854" s="2">
        <v>42419</v>
      </c>
      <c r="E6854" s="1" t="s">
        <v>18</v>
      </c>
      <c r="F6854" t="str">
        <f>HYPERLINK("http://www.sec.gov/Archives/edgar/data/1436229/0001493152-16-007517-index.html")</f>
        <v>http://www.sec.gov/Archives/edgar/data/1436229/0001493152-16-007517-index.html</v>
      </c>
    </row>
    <row r="6855" spans="1:6" x14ac:dyDescent="0.2">
      <c r="A6855" t="s">
        <v>6302</v>
      </c>
      <c r="B6855" s="1">
        <v>1439404</v>
      </c>
      <c r="C6855" s="1">
        <v>7374</v>
      </c>
      <c r="D6855" s="2">
        <v>42419</v>
      </c>
      <c r="E6855" s="1" t="s">
        <v>18</v>
      </c>
      <c r="F6855" t="str">
        <f>HYPERLINK("http://www.sec.gov/Archives/edgar/data/1439404/0001193125-16-470104-index.html")</f>
        <v>http://www.sec.gov/Archives/edgar/data/1439404/0001193125-16-470104-index.html</v>
      </c>
    </row>
    <row r="6856" spans="1:6" x14ac:dyDescent="0.2">
      <c r="A6856" t="s">
        <v>6303</v>
      </c>
      <c r="B6856" s="1">
        <v>1446847</v>
      </c>
      <c r="C6856" s="1">
        <v>2834</v>
      </c>
      <c r="D6856" s="2">
        <v>42419</v>
      </c>
      <c r="E6856" s="1" t="s">
        <v>18</v>
      </c>
      <c r="F6856" t="str">
        <f>HYPERLINK("http://www.sec.gov/Archives/edgar/data/1446847/0001047469-16-010251-index.html")</f>
        <v>http://www.sec.gov/Archives/edgar/data/1446847/0001047469-16-010251-index.html</v>
      </c>
    </row>
    <row r="6857" spans="1:6" x14ac:dyDescent="0.2">
      <c r="A6857" t="s">
        <v>6304</v>
      </c>
      <c r="B6857" s="1">
        <v>1472787</v>
      </c>
      <c r="C6857" s="1">
        <v>6361</v>
      </c>
      <c r="D6857" s="2">
        <v>42419</v>
      </c>
      <c r="E6857" s="1" t="s">
        <v>18</v>
      </c>
      <c r="F6857" t="str">
        <f>HYPERLINK("http://www.sec.gov/Archives/edgar/data/1472787/0001564590-16-012941-index.html")</f>
        <v>http://www.sec.gov/Archives/edgar/data/1472787/0001564590-16-012941-index.html</v>
      </c>
    </row>
    <row r="6858" spans="1:6" x14ac:dyDescent="0.2">
      <c r="A6858" t="s">
        <v>6305</v>
      </c>
      <c r="B6858" s="1">
        <v>1475274</v>
      </c>
      <c r="C6858" s="1">
        <v>7310</v>
      </c>
      <c r="D6858" s="2">
        <v>42419</v>
      </c>
      <c r="E6858" s="1" t="s">
        <v>18</v>
      </c>
      <c r="F6858" t="str">
        <f>HYPERLINK("http://www.sec.gov/Archives/edgar/data/1475274/0001475274-16-000006-index.html")</f>
        <v>http://www.sec.gov/Archives/edgar/data/1475274/0001475274-16-000006-index.html</v>
      </c>
    </row>
    <row r="6859" spans="1:6" x14ac:dyDescent="0.2">
      <c r="A6859" t="s">
        <v>6306</v>
      </c>
      <c r="B6859" s="1">
        <v>1492633</v>
      </c>
      <c r="C6859" s="1">
        <v>7389</v>
      </c>
      <c r="D6859" s="2">
        <v>42419</v>
      </c>
      <c r="E6859" s="1" t="s">
        <v>18</v>
      </c>
      <c r="F6859" t="str">
        <f>HYPERLINK("http://www.sec.gov/Archives/edgar/data/1492633/0001564590-16-012905-index.html")</f>
        <v>http://www.sec.gov/Archives/edgar/data/1492633/0001564590-16-012905-index.html</v>
      </c>
    </row>
    <row r="6860" spans="1:6" x14ac:dyDescent="0.2">
      <c r="A6860" t="s">
        <v>6307</v>
      </c>
      <c r="B6860" s="1">
        <v>1496048</v>
      </c>
      <c r="C6860" s="1">
        <v>6798</v>
      </c>
      <c r="D6860" s="2">
        <v>42419</v>
      </c>
      <c r="E6860" s="1" t="s">
        <v>18</v>
      </c>
      <c r="F6860" t="str">
        <f>HYPERLINK("http://www.sec.gov/Archives/edgar/data/1496048/0001496048-16-000048-index.html")</f>
        <v>http://www.sec.gov/Archives/edgar/data/1496048/0001496048-16-000048-index.html</v>
      </c>
    </row>
    <row r="6861" spans="1:6" x14ac:dyDescent="0.2">
      <c r="A6861" t="s">
        <v>6308</v>
      </c>
      <c r="B6861" s="1">
        <v>1499200</v>
      </c>
      <c r="C6861" s="1">
        <v>4924</v>
      </c>
      <c r="D6861" s="2">
        <v>42419</v>
      </c>
      <c r="E6861" s="1" t="s">
        <v>18</v>
      </c>
      <c r="F6861" t="str">
        <f>HYPERLINK("http://www.sec.gov/Archives/edgar/data/1499200/0001499200-16-000061-index.html")</f>
        <v>http://www.sec.gov/Archives/edgar/data/1499200/0001499200-16-000061-index.html</v>
      </c>
    </row>
    <row r="6862" spans="1:6" x14ac:dyDescent="0.2">
      <c r="A6862" t="s">
        <v>6309</v>
      </c>
      <c r="B6862" s="1">
        <v>1500217</v>
      </c>
      <c r="C6862" s="1">
        <v>6798</v>
      </c>
      <c r="D6862" s="2">
        <v>42419</v>
      </c>
      <c r="E6862" s="1" t="s">
        <v>18</v>
      </c>
      <c r="F6862" t="str">
        <f>HYPERLINK("http://www.sec.gov/Archives/edgar/data/1500217/0001500217-16-000148-index.html")</f>
        <v>http://www.sec.gov/Archives/edgar/data/1500217/0001500217-16-000148-index.html</v>
      </c>
    </row>
    <row r="6863" spans="1:6" x14ac:dyDescent="0.2">
      <c r="A6863" t="s">
        <v>6310</v>
      </c>
      <c r="B6863" s="1">
        <v>1502749</v>
      </c>
      <c r="C6863" s="1">
        <v>6035</v>
      </c>
      <c r="D6863" s="2">
        <v>42419</v>
      </c>
      <c r="E6863" s="1" t="s">
        <v>18</v>
      </c>
      <c r="F6863" t="str">
        <f>HYPERLINK("http://www.sec.gov/Archives/edgar/data/1502749/0001502749-16-000052-index.html")</f>
        <v>http://www.sec.gov/Archives/edgar/data/1502749/0001502749-16-000052-index.html</v>
      </c>
    </row>
    <row r="6864" spans="1:6" x14ac:dyDescent="0.2">
      <c r="A6864" t="s">
        <v>6311</v>
      </c>
      <c r="B6864" s="1">
        <v>1509570</v>
      </c>
      <c r="C6864" s="1">
        <v>6798</v>
      </c>
      <c r="D6864" s="2">
        <v>42419</v>
      </c>
      <c r="E6864" s="1" t="s">
        <v>18</v>
      </c>
      <c r="F6864" t="str">
        <f>HYPERLINK("http://www.sec.gov/Archives/edgar/data/1509570/0001500217-16-000148-index.html")</f>
        <v>http://www.sec.gov/Archives/edgar/data/1509570/0001500217-16-000148-index.html</v>
      </c>
    </row>
    <row r="6865" spans="1:6" x14ac:dyDescent="0.2">
      <c r="A6865" t="s">
        <v>6312</v>
      </c>
      <c r="B6865" s="1">
        <v>1517228</v>
      </c>
      <c r="C6865" s="1">
        <v>3663</v>
      </c>
      <c r="D6865" s="2">
        <v>42419</v>
      </c>
      <c r="E6865" s="1" t="s">
        <v>18</v>
      </c>
      <c r="F6865" t="str">
        <f>HYPERLINK("http://www.sec.gov/Archives/edgar/data/1517228/0001193125-16-468563-index.html")</f>
        <v>http://www.sec.gov/Archives/edgar/data/1517228/0001193125-16-468563-index.html</v>
      </c>
    </row>
    <row r="6866" spans="1:6" x14ac:dyDescent="0.2">
      <c r="A6866" t="s">
        <v>6313</v>
      </c>
      <c r="B6866" s="1">
        <v>1518339</v>
      </c>
      <c r="C6866" s="1">
        <v>4931</v>
      </c>
      <c r="D6866" s="2">
        <v>42419</v>
      </c>
      <c r="E6866" s="1" t="s">
        <v>18</v>
      </c>
      <c r="F6866" t="str">
        <f>HYPERLINK("http://www.sec.gov/Archives/edgar/data/1518339/0000922224-16-000130-index.html")</f>
        <v>http://www.sec.gov/Archives/edgar/data/1518339/0000922224-16-000130-index.html</v>
      </c>
    </row>
    <row r="6867" spans="1:6" x14ac:dyDescent="0.2">
      <c r="A6867" t="s">
        <v>6314</v>
      </c>
      <c r="B6867" s="1">
        <v>1538849</v>
      </c>
      <c r="C6867" s="1">
        <v>5172</v>
      </c>
      <c r="D6867" s="2">
        <v>42419</v>
      </c>
      <c r="E6867" s="1" t="s">
        <v>18</v>
      </c>
      <c r="F6867" t="str">
        <f>HYPERLINK("http://www.sec.gov/Archives/edgar/data/1538849/0001538849-16-000071-index.html")</f>
        <v>http://www.sec.gov/Archives/edgar/data/1538849/0001538849-16-000071-index.html</v>
      </c>
    </row>
    <row r="6868" spans="1:6" x14ac:dyDescent="0.2">
      <c r="A6868" t="s">
        <v>6315</v>
      </c>
      <c r="B6868" s="1">
        <v>1539838</v>
      </c>
      <c r="C6868" s="1">
        <v>1311</v>
      </c>
      <c r="D6868" s="2">
        <v>42419</v>
      </c>
      <c r="E6868" s="1" t="s">
        <v>18</v>
      </c>
      <c r="F6868" t="str">
        <f>HYPERLINK("http://www.sec.gov/Archives/edgar/data/1539838/0001539838-16-000129-index.html")</f>
        <v>http://www.sec.gov/Archives/edgar/data/1539838/0001539838-16-000129-index.html</v>
      </c>
    </row>
    <row r="6869" spans="1:6" x14ac:dyDescent="0.2">
      <c r="A6869" t="s">
        <v>6316</v>
      </c>
      <c r="B6869" s="1">
        <v>1547903</v>
      </c>
      <c r="C6869" s="1">
        <v>6351</v>
      </c>
      <c r="D6869" s="2">
        <v>42419</v>
      </c>
      <c r="E6869" s="1" t="s">
        <v>18</v>
      </c>
      <c r="F6869" t="str">
        <f>HYPERLINK("http://www.sec.gov/Archives/edgar/data/1547903/0001547903-16-000203-index.html")</f>
        <v>http://www.sec.gov/Archives/edgar/data/1547903/0001547903-16-000203-index.html</v>
      </c>
    </row>
    <row r="6870" spans="1:6" x14ac:dyDescent="0.2">
      <c r="A6870" t="s">
        <v>6317</v>
      </c>
      <c r="B6870" s="1">
        <v>1551152</v>
      </c>
      <c r="C6870" s="1">
        <v>2834</v>
      </c>
      <c r="D6870" s="2">
        <v>42419</v>
      </c>
      <c r="E6870" s="1" t="s">
        <v>18</v>
      </c>
      <c r="F6870" t="str">
        <f>HYPERLINK("http://www.sec.gov/Archives/edgar/data/1551152/0001047469-16-010239-index.html")</f>
        <v>http://www.sec.gov/Archives/edgar/data/1551152/0001047469-16-010239-index.html</v>
      </c>
    </row>
    <row r="6871" spans="1:6" x14ac:dyDescent="0.2">
      <c r="A6871" t="s">
        <v>6318</v>
      </c>
      <c r="B6871" s="1">
        <v>1552033</v>
      </c>
      <c r="C6871" s="1">
        <v>7320</v>
      </c>
      <c r="D6871" s="2">
        <v>42419</v>
      </c>
      <c r="E6871" s="1" t="s">
        <v>18</v>
      </c>
      <c r="F6871" t="str">
        <f>HYPERLINK("http://www.sec.gov/Archives/edgar/data/1552033/0001552033-16-000079-index.html")</f>
        <v>http://www.sec.gov/Archives/edgar/data/1552033/0001552033-16-000079-index.html</v>
      </c>
    </row>
    <row r="6872" spans="1:6" x14ac:dyDescent="0.2">
      <c r="A6872" t="s">
        <v>6319</v>
      </c>
      <c r="B6872" s="1">
        <v>1558785</v>
      </c>
      <c r="C6872" s="1">
        <v>2911</v>
      </c>
      <c r="D6872" s="2">
        <v>42419</v>
      </c>
      <c r="E6872" s="1" t="s">
        <v>18</v>
      </c>
      <c r="F6872" t="str">
        <f>HYPERLINK("http://www.sec.gov/Archives/edgar/data/1558785/0001558785-16-000075-index.html")</f>
        <v>http://www.sec.gov/Archives/edgar/data/1558785/0001558785-16-000075-index.html</v>
      </c>
    </row>
    <row r="6873" spans="1:6" x14ac:dyDescent="0.2">
      <c r="A6873" t="s">
        <v>6320</v>
      </c>
      <c r="B6873" s="1">
        <v>1562039</v>
      </c>
      <c r="C6873" s="1">
        <v>5500</v>
      </c>
      <c r="D6873" s="2">
        <v>42419</v>
      </c>
      <c r="E6873" s="1" t="s">
        <v>18</v>
      </c>
      <c r="F6873" t="str">
        <f>HYPERLINK("http://www.sec.gov/Archives/edgar/data/1562039/0001562039-16-000176-index.html")</f>
        <v>http://www.sec.gov/Archives/edgar/data/1562039/0001562039-16-000176-index.html</v>
      </c>
    </row>
    <row r="6874" spans="1:6" x14ac:dyDescent="0.2">
      <c r="A6874" t="s">
        <v>6321</v>
      </c>
      <c r="B6874" s="1">
        <v>1575319</v>
      </c>
      <c r="C6874" s="1">
        <v>7374</v>
      </c>
      <c r="D6874" s="2">
        <v>42419</v>
      </c>
      <c r="E6874" s="1" t="s">
        <v>18</v>
      </c>
      <c r="F6874" t="str">
        <f>HYPERLINK("http://www.sec.gov/Archives/edgar/data/1575319/0001575319-16-000021-index.html")</f>
        <v>http://www.sec.gov/Archives/edgar/data/1575319/0001575319-16-000021-index.html</v>
      </c>
    </row>
    <row r="6875" spans="1:6" x14ac:dyDescent="0.2">
      <c r="A6875" t="s">
        <v>6322</v>
      </c>
      <c r="B6875" s="1">
        <v>1576940</v>
      </c>
      <c r="C6875" s="1">
        <v>1531</v>
      </c>
      <c r="D6875" s="2">
        <v>42419</v>
      </c>
      <c r="E6875" s="1" t="s">
        <v>18</v>
      </c>
      <c r="F6875" t="str">
        <f>HYPERLINK("http://www.sec.gov/Archives/edgar/data/1576940/0001576940-16-000025-index.html")</f>
        <v>http://www.sec.gov/Archives/edgar/data/1576940/0001576940-16-000025-index.html</v>
      </c>
    </row>
    <row r="6876" spans="1:6" x14ac:dyDescent="0.2">
      <c r="A6876" t="s">
        <v>6323</v>
      </c>
      <c r="B6876" s="1">
        <v>1582966</v>
      </c>
      <c r="C6876" s="1">
        <v>4924</v>
      </c>
      <c r="D6876" s="2">
        <v>42419</v>
      </c>
      <c r="E6876" s="1" t="s">
        <v>18</v>
      </c>
      <c r="F6876" t="str">
        <f>HYPERLINK("http://www.sec.gov/Archives/edgar/data/1582966/0001582966-16-000088-index.html")</f>
        <v>http://www.sec.gov/Archives/edgar/data/1582966/0001582966-16-000088-index.html</v>
      </c>
    </row>
    <row r="6877" spans="1:6" x14ac:dyDescent="0.2">
      <c r="A6877" t="s">
        <v>6324</v>
      </c>
      <c r="B6877" s="1">
        <v>1587523</v>
      </c>
      <c r="C6877" s="1">
        <v>3651</v>
      </c>
      <c r="D6877" s="2">
        <v>42419</v>
      </c>
      <c r="E6877" s="1" t="s">
        <v>18</v>
      </c>
      <c r="F6877" t="str">
        <f>HYPERLINK("http://www.sec.gov/Archives/edgar/data/1587523/0001587523-16-000029-index.html")</f>
        <v>http://www.sec.gov/Archives/edgar/data/1587523/0001587523-16-000029-index.html</v>
      </c>
    </row>
    <row r="6878" spans="1:6" x14ac:dyDescent="0.2">
      <c r="A6878" t="s">
        <v>6325</v>
      </c>
      <c r="B6878" s="1">
        <v>1591517</v>
      </c>
      <c r="C6878" s="1">
        <v>2721</v>
      </c>
      <c r="D6878" s="2">
        <v>42419</v>
      </c>
      <c r="E6878" s="1" t="s">
        <v>18</v>
      </c>
      <c r="F6878" t="str">
        <f>HYPERLINK("http://www.sec.gov/Archives/edgar/data/1591517/0001591517-16-000039-index.html")</f>
        <v>http://www.sec.gov/Archives/edgar/data/1591517/0001591517-16-000039-index.html</v>
      </c>
    </row>
    <row r="6879" spans="1:6" x14ac:dyDescent="0.2">
      <c r="A6879" t="s">
        <v>6326</v>
      </c>
      <c r="B6879" s="1">
        <v>1595262</v>
      </c>
      <c r="C6879" s="1">
        <v>7374</v>
      </c>
      <c r="D6879" s="2">
        <v>42419</v>
      </c>
      <c r="E6879" s="1" t="s">
        <v>18</v>
      </c>
      <c r="F6879" t="str">
        <f>HYPERLINK("http://www.sec.gov/Archives/edgar/data/1595262/0001564590-16-012901-index.html")</f>
        <v>http://www.sec.gov/Archives/edgar/data/1595262/0001564590-16-012901-index.html</v>
      </c>
    </row>
    <row r="6880" spans="1:6" x14ac:dyDescent="0.2">
      <c r="A6880" t="s">
        <v>6327</v>
      </c>
      <c r="B6880" s="1">
        <v>1597033</v>
      </c>
      <c r="C6880" s="1">
        <v>7370</v>
      </c>
      <c r="D6880" s="2">
        <v>42419</v>
      </c>
      <c r="E6880" s="1" t="s">
        <v>18</v>
      </c>
      <c r="F6880" t="str">
        <f>HYPERLINK("http://www.sec.gov/Archives/edgar/data/1597033/0001597033-16-000136-index.html")</f>
        <v>http://www.sec.gov/Archives/edgar/data/1597033/0001597033-16-000136-index.html</v>
      </c>
    </row>
    <row r="6881" spans="1:6" x14ac:dyDescent="0.2">
      <c r="A6881" t="s">
        <v>6328</v>
      </c>
      <c r="B6881" s="1">
        <v>1602065</v>
      </c>
      <c r="C6881" s="1">
        <v>1311</v>
      </c>
      <c r="D6881" s="2">
        <v>42419</v>
      </c>
      <c r="E6881" s="1" t="s">
        <v>18</v>
      </c>
      <c r="F6881" t="str">
        <f>HYPERLINK("http://www.sec.gov/Archives/edgar/data/1602065/0001602065-16-000045-index.html")</f>
        <v>http://www.sec.gov/Archives/edgar/data/1602065/0001602065-16-000045-index.html</v>
      </c>
    </row>
    <row r="6882" spans="1:6" x14ac:dyDescent="0.2">
      <c r="A6882" t="s">
        <v>6329</v>
      </c>
      <c r="B6882" s="1">
        <v>1603145</v>
      </c>
      <c r="C6882" s="1">
        <v>4911</v>
      </c>
      <c r="D6882" s="2">
        <v>42419</v>
      </c>
      <c r="E6882" s="1" t="s">
        <v>18</v>
      </c>
      <c r="F6882" t="str">
        <f>HYPERLINK("http://www.sec.gov/Archives/edgar/data/1603145/0001603145-16-000139-index.html")</f>
        <v>http://www.sec.gov/Archives/edgar/data/1603145/0001603145-16-000139-index.html</v>
      </c>
    </row>
    <row r="6883" spans="1:6" x14ac:dyDescent="0.2">
      <c r="A6883" t="s">
        <v>6330</v>
      </c>
      <c r="B6883" s="1">
        <v>1604042</v>
      </c>
      <c r="C6883" s="1">
        <v>6798</v>
      </c>
      <c r="D6883" s="2">
        <v>42419</v>
      </c>
      <c r="E6883" s="1" t="s">
        <v>18</v>
      </c>
      <c r="F6883" t="str">
        <f>HYPERLINK("http://www.sec.gov/Archives/edgar/data/1604042/0001564590-16-012924-index.html")</f>
        <v>http://www.sec.gov/Archives/edgar/data/1604042/0001564590-16-012924-index.html</v>
      </c>
    </row>
    <row r="6884" spans="1:6" x14ac:dyDescent="0.2">
      <c r="A6884" t="s">
        <v>6331</v>
      </c>
      <c r="B6884" s="1">
        <v>1609132</v>
      </c>
      <c r="C6884" s="1">
        <v>6022</v>
      </c>
      <c r="D6884" s="2">
        <v>42419</v>
      </c>
      <c r="E6884" s="1" t="s">
        <v>18</v>
      </c>
      <c r="F6884" t="str">
        <f>HYPERLINK("http://www.sec.gov/Archives/edgar/data/1609132/0001144204-16-083431-index.html")</f>
        <v>http://www.sec.gov/Archives/edgar/data/1609132/0001144204-16-083431-index.html</v>
      </c>
    </row>
    <row r="6885" spans="1:6" x14ac:dyDescent="0.2">
      <c r="A6885" t="s">
        <v>6332</v>
      </c>
      <c r="B6885" s="1">
        <v>1611547</v>
      </c>
      <c r="C6885" s="1">
        <v>6500</v>
      </c>
      <c r="D6885" s="2">
        <v>42419</v>
      </c>
      <c r="E6885" s="1" t="s">
        <v>18</v>
      </c>
      <c r="F6885" t="str">
        <f>HYPERLINK("http://www.sec.gov/Archives/edgar/data/1611547/0001611547-16-000035-index.html")</f>
        <v>http://www.sec.gov/Archives/edgar/data/1611547/0001611547-16-000035-index.html</v>
      </c>
    </row>
    <row r="6886" spans="1:6" x14ac:dyDescent="0.2">
      <c r="A6886" t="s">
        <v>6333</v>
      </c>
      <c r="B6886" s="1">
        <v>1615892</v>
      </c>
      <c r="C6886" s="1">
        <v>6770</v>
      </c>
      <c r="D6886" s="2">
        <v>42419</v>
      </c>
      <c r="E6886" s="1" t="s">
        <v>18</v>
      </c>
      <c r="F6886" t="str">
        <f>HYPERLINK("http://www.sec.gov/Archives/edgar/data/1615892/0001615892-16-000018-index.html")</f>
        <v>http://www.sec.gov/Archives/edgar/data/1615892/0001615892-16-000018-index.html</v>
      </c>
    </row>
    <row r="6887" spans="1:6" x14ac:dyDescent="0.2">
      <c r="A6887" t="s">
        <v>6334</v>
      </c>
      <c r="B6887" s="1">
        <v>1616543</v>
      </c>
      <c r="C6887" s="1">
        <v>3823</v>
      </c>
      <c r="D6887" s="2">
        <v>42419</v>
      </c>
      <c r="E6887" s="1" t="s">
        <v>18</v>
      </c>
      <c r="F6887" t="str">
        <f>HYPERLINK("http://www.sec.gov/Archives/edgar/data/1616543/0001558370-16-003307-index.html")</f>
        <v>http://www.sec.gov/Archives/edgar/data/1616543/0001558370-16-003307-index.html</v>
      </c>
    </row>
    <row r="6888" spans="1:6" x14ac:dyDescent="0.2">
      <c r="A6888" t="s">
        <v>6211</v>
      </c>
      <c r="B6888" s="1">
        <v>1642453</v>
      </c>
      <c r="C6888" s="1">
        <v>6770</v>
      </c>
      <c r="D6888" s="2">
        <v>42419</v>
      </c>
      <c r="E6888" s="1" t="s">
        <v>18</v>
      </c>
      <c r="F6888" t="str">
        <f>HYPERLINK("http://www.sec.gov/Archives/edgar/data/1642453/0001213900-16-011096-index.html")</f>
        <v>http://www.sec.gov/Archives/edgar/data/1642453/0001213900-16-011096-index.html</v>
      </c>
    </row>
    <row r="6889" spans="1:6" x14ac:dyDescent="0.2">
      <c r="A6889" t="s">
        <v>6335</v>
      </c>
      <c r="B6889" s="1">
        <v>1649173</v>
      </c>
      <c r="C6889" s="1">
        <v>6770</v>
      </c>
      <c r="D6889" s="2">
        <v>42419</v>
      </c>
      <c r="E6889" s="1" t="s">
        <v>18</v>
      </c>
      <c r="F6889" t="str">
        <f>HYPERLINK("http://www.sec.gov/Archives/edgar/data/1649173/0001104659-16-098493-index.html")</f>
        <v>http://www.sec.gov/Archives/edgar/data/1649173/0001104659-16-098493-index.html</v>
      </c>
    </row>
    <row r="6890" spans="1:6" x14ac:dyDescent="0.2">
      <c r="A6890" t="s">
        <v>6336</v>
      </c>
      <c r="B6890" s="1">
        <v>1800</v>
      </c>
      <c r="C6890" s="1">
        <v>2834</v>
      </c>
      <c r="D6890" s="2">
        <v>42419</v>
      </c>
      <c r="E6890" s="1" t="s">
        <v>18</v>
      </c>
      <c r="F6890" t="str">
        <f>HYPERLINK("http://www.sec.gov/Archives/edgar/data/1800/0001047469-16-010246-index.html")</f>
        <v>http://www.sec.gov/Archives/edgar/data/1800/0001047469-16-010246-index.html</v>
      </c>
    </row>
    <row r="6891" spans="1:6" x14ac:dyDescent="0.2">
      <c r="A6891" t="s">
        <v>6337</v>
      </c>
      <c r="B6891" s="1">
        <v>27879</v>
      </c>
      <c r="C6891" s="1">
        <v>4931</v>
      </c>
      <c r="D6891" s="2">
        <v>42419</v>
      </c>
      <c r="E6891" s="1" t="s">
        <v>18</v>
      </c>
      <c r="F6891" t="str">
        <f>HYPERLINK("http://www.sec.gov/Archives/edgar/data/27879/0001193125-16-468556-index.html")</f>
        <v>http://www.sec.gov/Archives/edgar/data/27879/0001193125-16-468556-index.html</v>
      </c>
    </row>
    <row r="6892" spans="1:6" x14ac:dyDescent="0.2">
      <c r="A6892" t="s">
        <v>6338</v>
      </c>
      <c r="B6892" s="1">
        <v>27996</v>
      </c>
      <c r="C6892" s="1">
        <v>2780</v>
      </c>
      <c r="D6892" s="2">
        <v>42419</v>
      </c>
      <c r="E6892" s="1" t="s">
        <v>18</v>
      </c>
      <c r="F6892" t="str">
        <f>HYPERLINK("http://www.sec.gov/Archives/edgar/data/27996/0000027996-16-000050-index.html")</f>
        <v>http://www.sec.gov/Archives/edgar/data/27996/0000027996-16-000050-index.html</v>
      </c>
    </row>
    <row r="6893" spans="1:6" x14ac:dyDescent="0.2">
      <c r="A6893" t="s">
        <v>6339</v>
      </c>
      <c r="B6893" s="1">
        <v>310522</v>
      </c>
      <c r="C6893" s="1">
        <v>6111</v>
      </c>
      <c r="D6893" s="2">
        <v>42419</v>
      </c>
      <c r="E6893" s="1" t="s">
        <v>18</v>
      </c>
      <c r="F6893" t="str">
        <f>HYPERLINK("http://www.sec.gov/Archives/edgar/data/310522/0000310522-16-000453-index.html")</f>
        <v>http://www.sec.gov/Archives/edgar/data/310522/0000310522-16-000453-index.html</v>
      </c>
    </row>
    <row r="6894" spans="1:6" x14ac:dyDescent="0.2">
      <c r="A6894" t="s">
        <v>6340</v>
      </c>
      <c r="B6894" s="1">
        <v>313927</v>
      </c>
      <c r="C6894" s="1">
        <v>2840</v>
      </c>
      <c r="D6894" s="2">
        <v>42419</v>
      </c>
      <c r="E6894" s="1" t="s">
        <v>18</v>
      </c>
      <c r="F6894" t="str">
        <f>HYPERLINK("http://www.sec.gov/Archives/edgar/data/313927/0001564590-16-012917-index.html")</f>
        <v>http://www.sec.gov/Archives/edgar/data/313927/0001564590-16-012917-index.html</v>
      </c>
    </row>
    <row r="6895" spans="1:6" x14ac:dyDescent="0.2">
      <c r="A6895" t="s">
        <v>6341</v>
      </c>
      <c r="B6895" s="1">
        <v>317187</v>
      </c>
      <c r="C6895" s="1">
        <v>4911</v>
      </c>
      <c r="D6895" s="2">
        <v>42419</v>
      </c>
      <c r="E6895" s="1" t="s">
        <v>18</v>
      </c>
      <c r="F6895" t="str">
        <f>HYPERLINK("http://www.sec.gov/Archives/edgar/data/317187/0000922224-16-000130-index.html")</f>
        <v>http://www.sec.gov/Archives/edgar/data/317187/0000922224-16-000130-index.html</v>
      </c>
    </row>
    <row r="6896" spans="1:6" x14ac:dyDescent="0.2">
      <c r="A6896" t="s">
        <v>6342</v>
      </c>
      <c r="B6896" s="1">
        <v>34782</v>
      </c>
      <c r="C6896" s="1">
        <v>6022</v>
      </c>
      <c r="D6896" s="2">
        <v>42419</v>
      </c>
      <c r="E6896" s="1" t="s">
        <v>18</v>
      </c>
      <c r="F6896" t="str">
        <f>HYPERLINK("http://www.sec.gov/Archives/edgar/data/34782/0000034782-16-000102-index.html")</f>
        <v>http://www.sec.gov/Archives/edgar/data/34782/0000034782-16-000102-index.html</v>
      </c>
    </row>
    <row r="6897" spans="1:6" x14ac:dyDescent="0.2">
      <c r="A6897" t="s">
        <v>6343</v>
      </c>
      <c r="B6897" s="1">
        <v>355999</v>
      </c>
      <c r="C6897" s="1">
        <v>5110</v>
      </c>
      <c r="D6897" s="2">
        <v>42419</v>
      </c>
      <c r="E6897" s="1" t="s">
        <v>18</v>
      </c>
      <c r="F6897" t="str">
        <f>HYPERLINK("http://www.sec.gov/Archives/edgar/data/355999/0001564590-16-012894-index.html")</f>
        <v>http://www.sec.gov/Archives/edgar/data/355999/0001564590-16-012894-index.html</v>
      </c>
    </row>
    <row r="6898" spans="1:6" x14ac:dyDescent="0.2">
      <c r="A6898" t="s">
        <v>6344</v>
      </c>
      <c r="B6898" s="1">
        <v>3570</v>
      </c>
      <c r="C6898" s="1">
        <v>4924</v>
      </c>
      <c r="D6898" s="2">
        <v>42419</v>
      </c>
      <c r="E6898" s="1" t="s">
        <v>18</v>
      </c>
      <c r="F6898" t="str">
        <f>HYPERLINK("http://www.sec.gov/Archives/edgar/data/3570/0000003570-16-000284-index.html")</f>
        <v>http://www.sec.gov/Archives/edgar/data/3570/0000003570-16-000284-index.html</v>
      </c>
    </row>
    <row r="6899" spans="1:6" x14ac:dyDescent="0.2">
      <c r="A6899" t="s">
        <v>6345</v>
      </c>
      <c r="B6899" s="1">
        <v>36029</v>
      </c>
      <c r="C6899" s="1">
        <v>6022</v>
      </c>
      <c r="D6899" s="2">
        <v>42419</v>
      </c>
      <c r="E6899" s="1" t="s">
        <v>18</v>
      </c>
      <c r="F6899" t="str">
        <f>HYPERLINK("http://www.sec.gov/Archives/edgar/data/36029/0001193125-16-469386-index.html")</f>
        <v>http://www.sec.gov/Archives/edgar/data/36029/0001193125-16-469386-index.html</v>
      </c>
    </row>
    <row r="6900" spans="1:6" x14ac:dyDescent="0.2">
      <c r="A6900" t="s">
        <v>6346</v>
      </c>
      <c r="B6900" s="1">
        <v>36270</v>
      </c>
      <c r="C6900" s="1">
        <v>6022</v>
      </c>
      <c r="D6900" s="2">
        <v>42419</v>
      </c>
      <c r="E6900" s="1" t="s">
        <v>18</v>
      </c>
      <c r="F6900" t="str">
        <f>HYPERLINK("http://www.sec.gov/Archives/edgar/data/36270/0001193125-16-469957-index.html")</f>
        <v>http://www.sec.gov/Archives/edgar/data/36270/0001193125-16-469957-index.html</v>
      </c>
    </row>
    <row r="6901" spans="1:6" x14ac:dyDescent="0.2">
      <c r="A6901" t="s">
        <v>6347</v>
      </c>
      <c r="B6901" s="1">
        <v>4281</v>
      </c>
      <c r="C6901" s="1">
        <v>3350</v>
      </c>
      <c r="D6901" s="2">
        <v>42419</v>
      </c>
      <c r="E6901" s="1" t="s">
        <v>18</v>
      </c>
      <c r="F6901" t="str">
        <f>HYPERLINK("http://www.sec.gov/Archives/edgar/data/4281/0001193125-16-470162-index.html")</f>
        <v>http://www.sec.gov/Archives/edgar/data/4281/0001193125-16-470162-index.html</v>
      </c>
    </row>
    <row r="6902" spans="1:6" x14ac:dyDescent="0.2">
      <c r="A6902" t="s">
        <v>6348</v>
      </c>
      <c r="B6902" s="1">
        <v>4962</v>
      </c>
      <c r="C6902" s="1">
        <v>6199</v>
      </c>
      <c r="D6902" s="2">
        <v>42419</v>
      </c>
      <c r="E6902" s="1" t="s">
        <v>18</v>
      </c>
      <c r="F6902" t="str">
        <f>HYPERLINK("http://www.sec.gov/Archives/edgar/data/4962/0001193125-16-469798-index.html")</f>
        <v>http://www.sec.gov/Archives/edgar/data/4962/0001193125-16-469798-index.html</v>
      </c>
    </row>
    <row r="6903" spans="1:6" x14ac:dyDescent="0.2">
      <c r="A6903" t="s">
        <v>6349</v>
      </c>
      <c r="B6903" s="1">
        <v>5272</v>
      </c>
      <c r="C6903" s="1">
        <v>6331</v>
      </c>
      <c r="D6903" s="2">
        <v>42419</v>
      </c>
      <c r="E6903" s="1" t="s">
        <v>18</v>
      </c>
      <c r="F6903" t="str">
        <f>HYPERLINK("http://www.sec.gov/Archives/edgar/data/5272/0000005272-16-000035-index.html")</f>
        <v>http://www.sec.gov/Archives/edgar/data/5272/0000005272-16-000035-index.html</v>
      </c>
    </row>
    <row r="6904" spans="1:6" x14ac:dyDescent="0.2">
      <c r="A6904" t="s">
        <v>6350</v>
      </c>
      <c r="B6904" s="1">
        <v>55387</v>
      </c>
      <c r="C6904" s="1">
        <v>4911</v>
      </c>
      <c r="D6904" s="2">
        <v>42419</v>
      </c>
      <c r="E6904" s="1" t="s">
        <v>18</v>
      </c>
      <c r="F6904" t="str">
        <f>HYPERLINK("http://www.sec.gov/Archives/edgar/data/55387/0000922224-16-000130-index.html")</f>
        <v>http://www.sec.gov/Archives/edgar/data/55387/0000922224-16-000130-index.html</v>
      </c>
    </row>
    <row r="6905" spans="1:6" x14ac:dyDescent="0.2">
      <c r="A6905" t="s">
        <v>6351</v>
      </c>
      <c r="B6905" s="1">
        <v>59478</v>
      </c>
      <c r="C6905" s="1">
        <v>2834</v>
      </c>
      <c r="D6905" s="2">
        <v>42419</v>
      </c>
      <c r="E6905" s="1" t="s">
        <v>18</v>
      </c>
      <c r="F6905" t="str">
        <f>HYPERLINK("http://www.sec.gov/Archives/edgar/data/59478/0000059478-16-000321-index.html")</f>
        <v>http://www.sec.gov/Archives/edgar/data/59478/0000059478-16-000321-index.html</v>
      </c>
    </row>
    <row r="6906" spans="1:6" x14ac:dyDescent="0.2">
      <c r="A6906" t="s">
        <v>6352</v>
      </c>
      <c r="B6906" s="1">
        <v>60086</v>
      </c>
      <c r="C6906" s="1">
        <v>6331</v>
      </c>
      <c r="D6906" s="2">
        <v>42419</v>
      </c>
      <c r="E6906" s="1" t="s">
        <v>18</v>
      </c>
      <c r="F6906" t="str">
        <f>HYPERLINK("http://www.sec.gov/Archives/edgar/data/60086/0001193125-16-470141-index.html")</f>
        <v>http://www.sec.gov/Archives/edgar/data/60086/0001193125-16-470141-index.html</v>
      </c>
    </row>
    <row r="6907" spans="1:6" x14ac:dyDescent="0.2">
      <c r="A6907" t="s">
        <v>6353</v>
      </c>
      <c r="B6907" s="1">
        <v>60549</v>
      </c>
      <c r="C6907" s="1">
        <v>4931</v>
      </c>
      <c r="D6907" s="2">
        <v>42419</v>
      </c>
      <c r="E6907" s="1" t="s">
        <v>18</v>
      </c>
      <c r="F6907" t="str">
        <f>HYPERLINK("http://www.sec.gov/Archives/edgar/data/60549/0000922224-16-000130-index.html")</f>
        <v>http://www.sec.gov/Archives/edgar/data/60549/0000922224-16-000130-index.html</v>
      </c>
    </row>
    <row r="6908" spans="1:6" x14ac:dyDescent="0.2">
      <c r="A6908" t="s">
        <v>6354</v>
      </c>
      <c r="B6908" s="1">
        <v>67716</v>
      </c>
      <c r="C6908" s="1">
        <v>1400</v>
      </c>
      <c r="D6908" s="2">
        <v>42419</v>
      </c>
      <c r="E6908" s="1" t="s">
        <v>18</v>
      </c>
      <c r="F6908" t="str">
        <f>HYPERLINK("http://www.sec.gov/Archives/edgar/data/67716/0000067716-16-000116-index.html")</f>
        <v>http://www.sec.gov/Archives/edgar/data/67716/0000067716-16-000116-index.html</v>
      </c>
    </row>
    <row r="6909" spans="1:6" x14ac:dyDescent="0.2">
      <c r="A6909" t="s">
        <v>6355</v>
      </c>
      <c r="B6909" s="1">
        <v>704165</v>
      </c>
      <c r="C6909" s="1">
        <v>6798</v>
      </c>
      <c r="D6909" s="2">
        <v>42419</v>
      </c>
      <c r="E6909" s="1" t="s">
        <v>18</v>
      </c>
      <c r="F6909" t="str">
        <f>HYPERLINK("http://www.sec.gov/Archives/edgar/data/704165/0001099910-16-000305-index.html")</f>
        <v>http://www.sec.gov/Archives/edgar/data/704165/0001099910-16-000305-index.html</v>
      </c>
    </row>
    <row r="6910" spans="1:6" x14ac:dyDescent="0.2">
      <c r="A6910" t="s">
        <v>6356</v>
      </c>
      <c r="B6910" s="1">
        <v>7084</v>
      </c>
      <c r="C6910" s="1">
        <v>2070</v>
      </c>
      <c r="D6910" s="2">
        <v>42419</v>
      </c>
      <c r="E6910" s="1" t="s">
        <v>18</v>
      </c>
      <c r="F6910" t="str">
        <f>HYPERLINK("http://www.sec.gov/Archives/edgar/data/7084/0000007084-16-000046-index.html")</f>
        <v>http://www.sec.gov/Archives/edgar/data/7084/0000007084-16-000046-index.html</v>
      </c>
    </row>
    <row r="6911" spans="1:6" x14ac:dyDescent="0.2">
      <c r="A6911" t="s">
        <v>6357</v>
      </c>
      <c r="B6911" s="1">
        <v>7286</v>
      </c>
      <c r="C6911" s="1">
        <v>4931</v>
      </c>
      <c r="D6911" s="2">
        <v>42419</v>
      </c>
      <c r="E6911" s="1" t="s">
        <v>18</v>
      </c>
      <c r="F6911" t="str">
        <f>HYPERLINK("http://www.sec.gov/Archives/edgar/data/7286/0000764622-16-000087-index.html")</f>
        <v>http://www.sec.gov/Archives/edgar/data/7286/0000764622-16-000087-index.html</v>
      </c>
    </row>
    <row r="6912" spans="1:6" x14ac:dyDescent="0.2">
      <c r="A6912" t="s">
        <v>6358</v>
      </c>
      <c r="B6912" s="1">
        <v>72903</v>
      </c>
      <c r="C6912" s="1">
        <v>4931</v>
      </c>
      <c r="D6912" s="2">
        <v>42419</v>
      </c>
      <c r="E6912" s="1" t="s">
        <v>18</v>
      </c>
      <c r="F6912" t="str">
        <f>HYPERLINK("http://www.sec.gov/Archives/edgar/data/72903/0000072903-16-000123-index.html")</f>
        <v>http://www.sec.gov/Archives/edgar/data/72903/0000072903-16-000123-index.html</v>
      </c>
    </row>
    <row r="6913" spans="1:6" x14ac:dyDescent="0.2">
      <c r="A6913" t="s">
        <v>6359</v>
      </c>
      <c r="B6913" s="1">
        <v>731012</v>
      </c>
      <c r="C6913" s="1">
        <v>8050</v>
      </c>
      <c r="D6913" s="2">
        <v>42419</v>
      </c>
      <c r="E6913" s="1" t="s">
        <v>18</v>
      </c>
      <c r="F6913" t="str">
        <f>HYPERLINK("http://www.sec.gov/Archives/edgar/data/731012/0000731012-16-000120-index.html")</f>
        <v>http://www.sec.gov/Archives/edgar/data/731012/0000731012-16-000120-index.html</v>
      </c>
    </row>
    <row r="6914" spans="1:6" x14ac:dyDescent="0.2">
      <c r="A6914" t="s">
        <v>6360</v>
      </c>
      <c r="B6914" s="1">
        <v>731288</v>
      </c>
      <c r="C6914" s="1">
        <v>6153</v>
      </c>
      <c r="D6914" s="2">
        <v>42419</v>
      </c>
      <c r="E6914" s="1" t="s">
        <v>18</v>
      </c>
      <c r="F6914" t="str">
        <f>HYPERLINK("http://www.sec.gov/Archives/edgar/data/731288/0001193125-16-469971-index.html")</f>
        <v>http://www.sec.gov/Archives/edgar/data/731288/0001193125-16-469971-index.html</v>
      </c>
    </row>
    <row r="6915" spans="1:6" x14ac:dyDescent="0.2">
      <c r="A6915" t="s">
        <v>6361</v>
      </c>
      <c r="B6915" s="1">
        <v>73756</v>
      </c>
      <c r="C6915" s="1">
        <v>1389</v>
      </c>
      <c r="D6915" s="2">
        <v>42419</v>
      </c>
      <c r="E6915" s="1" t="s">
        <v>18</v>
      </c>
      <c r="F6915" t="str">
        <f>HYPERLINK("http://www.sec.gov/Archives/edgar/data/73756/0000073756-16-000068-index.html")</f>
        <v>http://www.sec.gov/Archives/edgar/data/73756/0000073756-16-000068-index.html</v>
      </c>
    </row>
    <row r="6916" spans="1:6" x14ac:dyDescent="0.2">
      <c r="A6916" t="s">
        <v>6362</v>
      </c>
      <c r="B6916" s="1">
        <v>750813</v>
      </c>
      <c r="C6916" s="1">
        <v>1382</v>
      </c>
      <c r="D6916" s="2">
        <v>42419</v>
      </c>
      <c r="E6916" s="1" t="s">
        <v>18</v>
      </c>
      <c r="F6916" t="str">
        <f>HYPERLINK("http://www.sec.gov/Archives/edgar/data/750813/0000750813-16-000034-index.html")</f>
        <v>http://www.sec.gov/Archives/edgar/data/750813/0000750813-16-000034-index.html</v>
      </c>
    </row>
    <row r="6917" spans="1:6" x14ac:dyDescent="0.2">
      <c r="A6917" t="s">
        <v>6363</v>
      </c>
      <c r="B6917" s="1">
        <v>761648</v>
      </c>
      <c r="C6917" s="1">
        <v>6798</v>
      </c>
      <c r="D6917" s="2">
        <v>42419</v>
      </c>
      <c r="E6917" s="1" t="s">
        <v>18</v>
      </c>
      <c r="F6917" t="str">
        <f>HYPERLINK("http://www.sec.gov/Archives/edgar/data/761648/0001193125-16-469818-index.html")</f>
        <v>http://www.sec.gov/Archives/edgar/data/761648/0001193125-16-469818-index.html</v>
      </c>
    </row>
    <row r="6918" spans="1:6" x14ac:dyDescent="0.2">
      <c r="A6918" t="s">
        <v>6364</v>
      </c>
      <c r="B6918" s="1">
        <v>764622</v>
      </c>
      <c r="C6918" s="1">
        <v>4911</v>
      </c>
      <c r="D6918" s="2">
        <v>42419</v>
      </c>
      <c r="E6918" s="1" t="s">
        <v>18</v>
      </c>
      <c r="F6918" t="str">
        <f>HYPERLINK("http://www.sec.gov/Archives/edgar/data/764622/0000764622-16-000087-index.html")</f>
        <v>http://www.sec.gov/Archives/edgar/data/764622/0000764622-16-000087-index.html</v>
      </c>
    </row>
    <row r="6919" spans="1:6" x14ac:dyDescent="0.2">
      <c r="A6919" t="s">
        <v>6365</v>
      </c>
      <c r="B6919" s="1">
        <v>783280</v>
      </c>
      <c r="C6919" s="1">
        <v>6798</v>
      </c>
      <c r="D6919" s="2">
        <v>42419</v>
      </c>
      <c r="E6919" s="1" t="s">
        <v>18</v>
      </c>
      <c r="F6919" t="str">
        <f>HYPERLINK("http://www.sec.gov/Archives/edgar/data/783280/0000783280-16-000080-index.html")</f>
        <v>http://www.sec.gov/Archives/edgar/data/783280/0000783280-16-000080-index.html</v>
      </c>
    </row>
    <row r="6920" spans="1:6" x14ac:dyDescent="0.2">
      <c r="A6920" t="s">
        <v>6366</v>
      </c>
      <c r="B6920" s="1">
        <v>790067</v>
      </c>
      <c r="C6920" s="1">
        <v>6798</v>
      </c>
      <c r="D6920" s="2">
        <v>42419</v>
      </c>
      <c r="E6920" s="1" t="s">
        <v>18</v>
      </c>
      <c r="F6920" t="str">
        <f>HYPERLINK("http://www.sec.gov/Archives/edgar/data/790067/0001099910-16-000306-index.html")</f>
        <v>http://www.sec.gov/Archives/edgar/data/790067/0001099910-16-000306-index.html</v>
      </c>
    </row>
    <row r="6921" spans="1:6" x14ac:dyDescent="0.2">
      <c r="A6921" t="s">
        <v>6367</v>
      </c>
      <c r="B6921" s="1">
        <v>79732</v>
      </c>
      <c r="C6921" s="1">
        <v>4911</v>
      </c>
      <c r="D6921" s="2">
        <v>42419</v>
      </c>
      <c r="E6921" s="1" t="s">
        <v>18</v>
      </c>
      <c r="F6921" t="str">
        <f>HYPERLINK("http://www.sec.gov/Archives/edgar/data/79732/0001193125-16-468556-index.html")</f>
        <v>http://www.sec.gov/Archives/edgar/data/79732/0001193125-16-468556-index.html</v>
      </c>
    </row>
    <row r="6922" spans="1:6" x14ac:dyDescent="0.2">
      <c r="A6922" t="s">
        <v>6368</v>
      </c>
      <c r="B6922" s="1">
        <v>798354</v>
      </c>
      <c r="C6922" s="1">
        <v>7374</v>
      </c>
      <c r="D6922" s="2">
        <v>42419</v>
      </c>
      <c r="E6922" s="1" t="s">
        <v>18</v>
      </c>
      <c r="F6922" t="str">
        <f>HYPERLINK("http://www.sec.gov/Archives/edgar/data/798354/0001628280-16-011435-index.html")</f>
        <v>http://www.sec.gov/Archives/edgar/data/798354/0001628280-16-011435-index.html</v>
      </c>
    </row>
    <row r="6923" spans="1:6" x14ac:dyDescent="0.2">
      <c r="A6923" t="s">
        <v>6369</v>
      </c>
      <c r="B6923" s="1">
        <v>808362</v>
      </c>
      <c r="C6923" s="1">
        <v>3533</v>
      </c>
      <c r="D6923" s="2">
        <v>42419</v>
      </c>
      <c r="E6923" s="1" t="s">
        <v>42</v>
      </c>
      <c r="F6923" t="str">
        <f>HYPERLINK("http://www.sec.gov/Archives/edgar/data/808362/0000808362-16-000055-index.html")</f>
        <v>http://www.sec.gov/Archives/edgar/data/808362/0000808362-16-000055-index.html</v>
      </c>
    </row>
    <row r="6924" spans="1:6" x14ac:dyDescent="0.2">
      <c r="A6924" t="s">
        <v>65</v>
      </c>
      <c r="B6924" s="1">
        <v>818033</v>
      </c>
      <c r="C6924" s="1">
        <v>2834</v>
      </c>
      <c r="D6924" s="2">
        <v>42419</v>
      </c>
      <c r="E6924" s="1" t="s">
        <v>18</v>
      </c>
      <c r="F6924" t="str">
        <f>HYPERLINK("http://www.sec.gov/Archives/edgar/data/818033/0001193125-16-469890-index.html")</f>
        <v>http://www.sec.gov/Archives/edgar/data/818033/0001193125-16-469890-index.html</v>
      </c>
    </row>
    <row r="6925" spans="1:6" x14ac:dyDescent="0.2">
      <c r="A6925" t="s">
        <v>6370</v>
      </c>
      <c r="B6925" s="1">
        <v>8192</v>
      </c>
      <c r="C6925" s="1">
        <v>4911</v>
      </c>
      <c r="D6925" s="2">
        <v>42419</v>
      </c>
      <c r="E6925" s="1" t="s">
        <v>18</v>
      </c>
      <c r="F6925" t="str">
        <f>HYPERLINK("http://www.sec.gov/Archives/edgar/data/8192/0001193125-16-468556-index.html")</f>
        <v>http://www.sec.gov/Archives/edgar/data/8192/0001193125-16-468556-index.html</v>
      </c>
    </row>
    <row r="6926" spans="1:6" x14ac:dyDescent="0.2">
      <c r="A6926" t="s">
        <v>6371</v>
      </c>
      <c r="B6926" s="1">
        <v>820313</v>
      </c>
      <c r="C6926" s="1">
        <v>3678</v>
      </c>
      <c r="D6926" s="2">
        <v>42419</v>
      </c>
      <c r="E6926" s="1" t="s">
        <v>18</v>
      </c>
      <c r="F6926" t="str">
        <f>HYPERLINK("http://www.sec.gov/Archives/edgar/data/820313/0001104659-16-098503-index.html")</f>
        <v>http://www.sec.gov/Archives/edgar/data/820313/0001104659-16-098503-index.html</v>
      </c>
    </row>
    <row r="6927" spans="1:6" x14ac:dyDescent="0.2">
      <c r="A6927" t="s">
        <v>6372</v>
      </c>
      <c r="B6927" s="1">
        <v>822783</v>
      </c>
      <c r="C6927" s="1">
        <v>6798</v>
      </c>
      <c r="D6927" s="2">
        <v>42419</v>
      </c>
      <c r="E6927" s="1" t="s">
        <v>18</v>
      </c>
      <c r="F6927" t="str">
        <f>HYPERLINK("http://www.sec.gov/Archives/edgar/data/822783/0001099910-16-000307-index.html")</f>
        <v>http://www.sec.gov/Archives/edgar/data/822783/0001099910-16-000307-index.html</v>
      </c>
    </row>
    <row r="6928" spans="1:6" x14ac:dyDescent="0.2">
      <c r="A6928" t="s">
        <v>6373</v>
      </c>
      <c r="B6928" s="1">
        <v>832101</v>
      </c>
      <c r="C6928" s="1">
        <v>3561</v>
      </c>
      <c r="D6928" s="2">
        <v>42419</v>
      </c>
      <c r="E6928" s="1" t="s">
        <v>18</v>
      </c>
      <c r="F6928" t="str">
        <f>HYPERLINK("http://www.sec.gov/Archives/edgar/data/832101/0000832101-16-000057-index.html")</f>
        <v>http://www.sec.gov/Archives/edgar/data/832101/0000832101-16-000057-index.html</v>
      </c>
    </row>
    <row r="6929" spans="1:6" x14ac:dyDescent="0.2">
      <c r="A6929" t="s">
        <v>6374</v>
      </c>
      <c r="B6929" s="1">
        <v>867374</v>
      </c>
      <c r="C6929" s="1">
        <v>3576</v>
      </c>
      <c r="D6929" s="2">
        <v>42419</v>
      </c>
      <c r="E6929" s="1" t="s">
        <v>18</v>
      </c>
      <c r="F6929" t="str">
        <f>HYPERLINK("http://www.sec.gov/Archives/edgar/data/867374/0001193125-16-468633-index.html")</f>
        <v>http://www.sec.gov/Archives/edgar/data/867374/0001193125-16-468633-index.html</v>
      </c>
    </row>
    <row r="6930" spans="1:6" x14ac:dyDescent="0.2">
      <c r="A6930" t="s">
        <v>6375</v>
      </c>
      <c r="B6930" s="1">
        <v>867773</v>
      </c>
      <c r="C6930" s="1">
        <v>3576</v>
      </c>
      <c r="D6930" s="2">
        <v>42419</v>
      </c>
      <c r="E6930" s="1" t="s">
        <v>18</v>
      </c>
      <c r="F6930" t="str">
        <f>HYPERLINK("http://www.sec.gov/Archives/edgar/data/867773/0000867773-16-000101-index.html")</f>
        <v>http://www.sec.gov/Archives/edgar/data/867773/0000867773-16-000101-index.html</v>
      </c>
    </row>
    <row r="6931" spans="1:6" x14ac:dyDescent="0.2">
      <c r="A6931" t="s">
        <v>6376</v>
      </c>
      <c r="B6931" s="1">
        <v>874499</v>
      </c>
      <c r="C6931" s="1">
        <v>1311</v>
      </c>
      <c r="D6931" s="2">
        <v>42419</v>
      </c>
      <c r="E6931" s="1" t="s">
        <v>18</v>
      </c>
      <c r="F6931" t="str">
        <f>HYPERLINK("http://www.sec.gov/Archives/edgar/data/874499/0001628280-16-011417-index.html")</f>
        <v>http://www.sec.gov/Archives/edgar/data/874499/0001628280-16-011417-index.html</v>
      </c>
    </row>
    <row r="6932" spans="1:6" x14ac:dyDescent="0.2">
      <c r="A6932" t="s">
        <v>6377</v>
      </c>
      <c r="B6932" s="1">
        <v>891014</v>
      </c>
      <c r="C6932" s="1">
        <v>2810</v>
      </c>
      <c r="D6932" s="2">
        <v>42419</v>
      </c>
      <c r="E6932" s="1" t="s">
        <v>18</v>
      </c>
      <c r="F6932" t="str">
        <f>HYPERLINK("http://www.sec.gov/Archives/edgar/data/891014/0001140361-16-054076-index.html")</f>
        <v>http://www.sec.gov/Archives/edgar/data/891014/0001140361-16-054076-index.html</v>
      </c>
    </row>
    <row r="6933" spans="1:6" x14ac:dyDescent="0.2">
      <c r="A6933" t="s">
        <v>6378</v>
      </c>
      <c r="B6933" s="1">
        <v>892537</v>
      </c>
      <c r="C6933" s="1">
        <v>8741</v>
      </c>
      <c r="D6933" s="2">
        <v>42419</v>
      </c>
      <c r="E6933" s="1" t="s">
        <v>18</v>
      </c>
      <c r="F6933" t="str">
        <f>HYPERLINK("http://www.sec.gov/Archives/edgar/data/892537/0000892537-16-000031-index.html")</f>
        <v>http://www.sec.gov/Archives/edgar/data/892537/0000892537-16-000031-index.html</v>
      </c>
    </row>
    <row r="6934" spans="1:6" x14ac:dyDescent="0.2">
      <c r="A6934" t="s">
        <v>6379</v>
      </c>
      <c r="B6934" s="1">
        <v>899629</v>
      </c>
      <c r="C6934" s="1">
        <v>6798</v>
      </c>
      <c r="D6934" s="2">
        <v>42419</v>
      </c>
      <c r="E6934" s="1" t="s">
        <v>18</v>
      </c>
      <c r="F6934" t="str">
        <f>HYPERLINK("http://www.sec.gov/Archives/edgar/data/899629/0000899629-16-000040-index.html")</f>
        <v>http://www.sec.gov/Archives/edgar/data/899629/0000899629-16-000040-index.html</v>
      </c>
    </row>
    <row r="6935" spans="1:6" x14ac:dyDescent="0.2">
      <c r="A6935" t="s">
        <v>6380</v>
      </c>
      <c r="B6935" s="1">
        <v>906345</v>
      </c>
      <c r="C6935" s="1">
        <v>6798</v>
      </c>
      <c r="D6935" s="2">
        <v>42419</v>
      </c>
      <c r="E6935" s="1" t="s">
        <v>18</v>
      </c>
      <c r="F6935" t="str">
        <f>HYPERLINK("http://www.sec.gov/Archives/edgar/data/906345/0000906345-16-000044-index.html")</f>
        <v>http://www.sec.gov/Archives/edgar/data/906345/0000906345-16-000044-index.html</v>
      </c>
    </row>
    <row r="6936" spans="1:6" x14ac:dyDescent="0.2">
      <c r="A6936" t="s">
        <v>6381</v>
      </c>
      <c r="B6936" s="1">
        <v>912728</v>
      </c>
      <c r="C6936" s="1">
        <v>4731</v>
      </c>
      <c r="D6936" s="2">
        <v>42419</v>
      </c>
      <c r="E6936" s="1" t="s">
        <v>18</v>
      </c>
      <c r="F6936" t="str">
        <f>HYPERLINK("http://www.sec.gov/Archives/edgar/data/912728/0000912728-16-000196-index.html")</f>
        <v>http://www.sec.gov/Archives/edgar/data/912728/0000912728-16-000196-index.html</v>
      </c>
    </row>
    <row r="6937" spans="1:6" x14ac:dyDescent="0.2">
      <c r="A6937" t="s">
        <v>6382</v>
      </c>
      <c r="B6937" s="1">
        <v>913144</v>
      </c>
      <c r="C6937" s="1">
        <v>6331</v>
      </c>
      <c r="D6937" s="2">
        <v>42419</v>
      </c>
      <c r="E6937" s="1" t="s">
        <v>18</v>
      </c>
      <c r="F6937" t="str">
        <f>HYPERLINK("http://www.sec.gov/Archives/edgar/data/913144/0001628280-16-011447-index.html")</f>
        <v>http://www.sec.gov/Archives/edgar/data/913144/0001628280-16-011447-index.html</v>
      </c>
    </row>
    <row r="6938" spans="1:6" x14ac:dyDescent="0.2">
      <c r="A6938" t="s">
        <v>6383</v>
      </c>
      <c r="B6938" s="1">
        <v>914208</v>
      </c>
      <c r="C6938" s="1">
        <v>6282</v>
      </c>
      <c r="D6938" s="2">
        <v>42419</v>
      </c>
      <c r="E6938" s="1" t="s">
        <v>18</v>
      </c>
      <c r="F6938" t="str">
        <f>HYPERLINK("http://www.sec.gov/Archives/edgar/data/914208/0000914208-16-000846-index.html")</f>
        <v>http://www.sec.gov/Archives/edgar/data/914208/0000914208-16-000846-index.html</v>
      </c>
    </row>
    <row r="6939" spans="1:6" x14ac:dyDescent="0.2">
      <c r="A6939" t="s">
        <v>6384</v>
      </c>
      <c r="B6939" s="1">
        <v>917273</v>
      </c>
      <c r="C6939" s="1">
        <v>3674</v>
      </c>
      <c r="D6939" s="2">
        <v>42419</v>
      </c>
      <c r="E6939" s="1" t="s">
        <v>18</v>
      </c>
      <c r="F6939" t="str">
        <f>HYPERLINK("http://www.sec.gov/Archives/edgar/data/917273/0000917273-16-000027-index.html")</f>
        <v>http://www.sec.gov/Archives/edgar/data/917273/0000917273-16-000027-index.html</v>
      </c>
    </row>
    <row r="6940" spans="1:6" x14ac:dyDescent="0.2">
      <c r="A6940" t="s">
        <v>6385</v>
      </c>
      <c r="B6940" s="1">
        <v>918160</v>
      </c>
      <c r="C6940" s="1">
        <v>3312</v>
      </c>
      <c r="D6940" s="2">
        <v>42419</v>
      </c>
      <c r="E6940" s="1" t="s">
        <v>18</v>
      </c>
      <c r="F6940" t="str">
        <f>HYPERLINK("http://www.sec.gov/Archives/edgar/data/918160/0000918160-16-000082-index.html")</f>
        <v>http://www.sec.gov/Archives/edgar/data/918160/0000918160-16-000082-index.html</v>
      </c>
    </row>
    <row r="6941" spans="1:6" x14ac:dyDescent="0.2">
      <c r="A6941" t="s">
        <v>6386</v>
      </c>
      <c r="B6941" s="1">
        <v>922224</v>
      </c>
      <c r="C6941" s="1">
        <v>4911</v>
      </c>
      <c r="D6941" s="2">
        <v>42419</v>
      </c>
      <c r="E6941" s="1" t="s">
        <v>18</v>
      </c>
      <c r="F6941" t="str">
        <f>HYPERLINK("http://www.sec.gov/Archives/edgar/data/922224/0000922224-16-000130-index.html")</f>
        <v>http://www.sec.gov/Archives/edgar/data/922224/0000922224-16-000130-index.html</v>
      </c>
    </row>
    <row r="6942" spans="1:6" x14ac:dyDescent="0.2">
      <c r="A6942" t="s">
        <v>6387</v>
      </c>
      <c r="B6942" s="1">
        <v>931015</v>
      </c>
      <c r="C6942" s="1">
        <v>3790</v>
      </c>
      <c r="D6942" s="2">
        <v>42419</v>
      </c>
      <c r="E6942" s="1" t="s">
        <v>18</v>
      </c>
      <c r="F6942" t="str">
        <f>HYPERLINK("http://www.sec.gov/Archives/edgar/data/931015/0001628280-16-011420-index.html")</f>
        <v>http://www.sec.gov/Archives/edgar/data/931015/0001628280-16-011420-index.html</v>
      </c>
    </row>
    <row r="6943" spans="1:6" x14ac:dyDescent="0.2">
      <c r="A6943" t="s">
        <v>6388</v>
      </c>
      <c r="B6943" s="1">
        <v>932696</v>
      </c>
      <c r="C6943" s="1">
        <v>5961</v>
      </c>
      <c r="D6943" s="2">
        <v>42419</v>
      </c>
      <c r="E6943" s="1" t="s">
        <v>18</v>
      </c>
      <c r="F6943" t="str">
        <f>HYPERLINK("http://www.sec.gov/Archives/edgar/data/932696/0001193125-16-470150-index.html")</f>
        <v>http://www.sec.gov/Archives/edgar/data/932696/0001193125-16-470150-index.html</v>
      </c>
    </row>
    <row r="6944" spans="1:6" x14ac:dyDescent="0.2">
      <c r="A6944" t="s">
        <v>6389</v>
      </c>
      <c r="B6944" s="1">
        <v>935494</v>
      </c>
      <c r="C6944" s="1">
        <v>7372</v>
      </c>
      <c r="D6944" s="2">
        <v>42419</v>
      </c>
      <c r="E6944" s="1" t="s">
        <v>18</v>
      </c>
      <c r="F6944" t="str">
        <f>HYPERLINK("http://www.sec.gov/Archives/edgar/data/935494/0000935494-16-000038-index.html")</f>
        <v>http://www.sec.gov/Archives/edgar/data/935494/0000935494-16-000038-index.html</v>
      </c>
    </row>
    <row r="6945" spans="1:6" x14ac:dyDescent="0.2">
      <c r="A6945" t="s">
        <v>6390</v>
      </c>
      <c r="B6945" s="1">
        <v>93556</v>
      </c>
      <c r="C6945" s="1">
        <v>3420</v>
      </c>
      <c r="D6945" s="2">
        <v>42419</v>
      </c>
      <c r="E6945" s="1" t="s">
        <v>18</v>
      </c>
      <c r="F6945" t="str">
        <f>HYPERLINK("http://www.sec.gov/Archives/edgar/data/93556/0000093556-16-000051-index.html")</f>
        <v>http://www.sec.gov/Archives/edgar/data/93556/0000093556-16-000051-index.html</v>
      </c>
    </row>
    <row r="6946" spans="1:6" x14ac:dyDescent="0.2">
      <c r="A6946" t="s">
        <v>6391</v>
      </c>
      <c r="B6946" s="1">
        <v>93751</v>
      </c>
      <c r="C6946" s="1">
        <v>6022</v>
      </c>
      <c r="D6946" s="2">
        <v>42419</v>
      </c>
      <c r="E6946" s="1" t="s">
        <v>18</v>
      </c>
      <c r="F6946" t="str">
        <f>HYPERLINK("http://www.sec.gov/Archives/edgar/data/93751/0000093751-16-000446-index.html")</f>
        <v>http://www.sec.gov/Archives/edgar/data/93751/0000093751-16-000446-index.html</v>
      </c>
    </row>
    <row r="6947" spans="1:6" x14ac:dyDescent="0.2">
      <c r="A6947" t="s">
        <v>6392</v>
      </c>
      <c r="B6947" s="1">
        <v>943452</v>
      </c>
      <c r="C6947" s="1">
        <v>3743</v>
      </c>
      <c r="D6947" s="2">
        <v>42419</v>
      </c>
      <c r="E6947" s="1" t="s">
        <v>18</v>
      </c>
      <c r="F6947" t="str">
        <f>HYPERLINK("http://www.sec.gov/Archives/edgar/data/943452/0001628280-16-011421-index.html")</f>
        <v>http://www.sec.gov/Archives/edgar/data/943452/0001628280-16-011421-index.html</v>
      </c>
    </row>
    <row r="6948" spans="1:6" x14ac:dyDescent="0.2">
      <c r="A6948" t="s">
        <v>6393</v>
      </c>
      <c r="B6948" s="1">
        <v>949039</v>
      </c>
      <c r="C6948" s="1">
        <v>1381</v>
      </c>
      <c r="D6948" s="2">
        <v>42419</v>
      </c>
      <c r="E6948" s="1" t="s">
        <v>18</v>
      </c>
      <c r="F6948" t="str">
        <f>HYPERLINK("http://www.sec.gov/Archives/edgar/data/949039/0001193125-16-469774-index.html")</f>
        <v>http://www.sec.gov/Archives/edgar/data/949039/0001193125-16-469774-index.html</v>
      </c>
    </row>
    <row r="6949" spans="1:6" x14ac:dyDescent="0.2">
      <c r="A6949" t="s">
        <v>3503</v>
      </c>
      <c r="B6949" s="1">
        <v>96223</v>
      </c>
      <c r="C6949" s="1">
        <v>2011</v>
      </c>
      <c r="D6949" s="2">
        <v>42419</v>
      </c>
      <c r="E6949" s="1" t="s">
        <v>18</v>
      </c>
      <c r="F6949" t="str">
        <f>HYPERLINK("http://www.sec.gov/Archives/edgar/data/96223/0000096223-16-000049-index.html")</f>
        <v>http://www.sec.gov/Archives/edgar/data/96223/0000096223-16-000049-index.html</v>
      </c>
    </row>
    <row r="6950" spans="1:6" x14ac:dyDescent="0.2">
      <c r="A6950" t="s">
        <v>6394</v>
      </c>
      <c r="B6950" s="1">
        <v>99780</v>
      </c>
      <c r="C6950" s="1">
        <v>3743</v>
      </c>
      <c r="D6950" s="2">
        <v>42419</v>
      </c>
      <c r="E6950" s="1" t="s">
        <v>18</v>
      </c>
      <c r="F6950" t="str">
        <f>HYPERLINK("http://www.sec.gov/Archives/edgar/data/99780/0000099780-16-000164-index.html")</f>
        <v>http://www.sec.gov/Archives/edgar/data/99780/0000099780-16-000164-index.html</v>
      </c>
    </row>
    <row r="6951" spans="1:6" x14ac:dyDescent="0.2">
      <c r="A6951" t="s">
        <v>6395</v>
      </c>
      <c r="B6951" s="1">
        <v>1001082</v>
      </c>
      <c r="C6951" s="1">
        <v>4841</v>
      </c>
      <c r="D6951" s="2">
        <v>42418</v>
      </c>
      <c r="E6951" s="1" t="s">
        <v>18</v>
      </c>
      <c r="F6951" t="str">
        <f>HYPERLINK("http://www.sec.gov/Archives/edgar/data/1001082/0001558370-16-003267-index.html")</f>
        <v>http://www.sec.gov/Archives/edgar/data/1001082/0001558370-16-003267-index.html</v>
      </c>
    </row>
    <row r="6952" spans="1:6" x14ac:dyDescent="0.2">
      <c r="A6952" t="s">
        <v>6396</v>
      </c>
      <c r="B6952" s="1">
        <v>100122</v>
      </c>
      <c r="C6952" s="1">
        <v>4911</v>
      </c>
      <c r="D6952" s="2">
        <v>42418</v>
      </c>
      <c r="E6952" s="1" t="s">
        <v>18</v>
      </c>
      <c r="F6952" t="str">
        <f>HYPERLINK("http://www.sec.gov/Archives/edgar/data/100122/0000100122-16-000034-index.html")</f>
        <v>http://www.sec.gov/Archives/edgar/data/100122/0000100122-16-000034-index.html</v>
      </c>
    </row>
    <row r="6953" spans="1:6" x14ac:dyDescent="0.2">
      <c r="A6953" t="s">
        <v>6397</v>
      </c>
      <c r="B6953" s="1">
        <v>1001233</v>
      </c>
      <c r="C6953" s="1">
        <v>2836</v>
      </c>
      <c r="D6953" s="2">
        <v>42418</v>
      </c>
      <c r="E6953" s="1" t="s">
        <v>18</v>
      </c>
      <c r="F6953" t="str">
        <f>HYPERLINK("http://www.sec.gov/Archives/edgar/data/1001233/0001564590-16-012882-index.html")</f>
        <v>http://www.sec.gov/Archives/edgar/data/1001233/0001564590-16-012882-index.html</v>
      </c>
    </row>
    <row r="6954" spans="1:6" x14ac:dyDescent="0.2">
      <c r="A6954" t="s">
        <v>6398</v>
      </c>
      <c r="B6954" s="1">
        <v>1004980</v>
      </c>
      <c r="C6954" s="1">
        <v>4931</v>
      </c>
      <c r="D6954" s="2">
        <v>42418</v>
      </c>
      <c r="E6954" s="1" t="s">
        <v>18</v>
      </c>
      <c r="F6954" t="str">
        <f>HYPERLINK("http://www.sec.gov/Archives/edgar/data/1004980/0001004980-16-000065-index.html")</f>
        <v>http://www.sec.gov/Archives/edgar/data/1004980/0001004980-16-000065-index.html</v>
      </c>
    </row>
    <row r="6955" spans="1:6" x14ac:dyDescent="0.2">
      <c r="A6955" t="s">
        <v>6399</v>
      </c>
      <c r="B6955" s="1">
        <v>100517</v>
      </c>
      <c r="C6955" s="1">
        <v>4512</v>
      </c>
      <c r="D6955" s="2">
        <v>42418</v>
      </c>
      <c r="E6955" s="1" t="s">
        <v>18</v>
      </c>
      <c r="F6955" t="str">
        <f>HYPERLINK("http://www.sec.gov/Archives/edgar/data/100517/0001193125-16-468479-index.html")</f>
        <v>http://www.sec.gov/Archives/edgar/data/100517/0001193125-16-468479-index.html</v>
      </c>
    </row>
    <row r="6956" spans="1:6" x14ac:dyDescent="0.2">
      <c r="A6956" t="s">
        <v>6400</v>
      </c>
      <c r="B6956" s="1">
        <v>1021561</v>
      </c>
      <c r="C6956" s="1">
        <v>5122</v>
      </c>
      <c r="D6956" s="2">
        <v>42418</v>
      </c>
      <c r="E6956" s="1" t="s">
        <v>18</v>
      </c>
      <c r="F6956" t="str">
        <f>HYPERLINK("http://www.sec.gov/Archives/edgar/data/1021561/0001021561-16-000100-index.html")</f>
        <v>http://www.sec.gov/Archives/edgar/data/1021561/0001021561-16-000100-index.html</v>
      </c>
    </row>
    <row r="6957" spans="1:6" x14ac:dyDescent="0.2">
      <c r="A6957" t="s">
        <v>6401</v>
      </c>
      <c r="B6957" s="1">
        <v>1024657</v>
      </c>
      <c r="C6957" s="1">
        <v>7389</v>
      </c>
      <c r="D6957" s="2">
        <v>42418</v>
      </c>
      <c r="E6957" s="1" t="s">
        <v>18</v>
      </c>
      <c r="F6957" t="str">
        <f>HYPERLINK("http://www.sec.gov/Archives/edgar/data/1024657/0001193125-16-468151-index.html")</f>
        <v>http://www.sec.gov/Archives/edgar/data/1024657/0001193125-16-468151-index.html</v>
      </c>
    </row>
    <row r="6958" spans="1:6" x14ac:dyDescent="0.2">
      <c r="A6958" t="s">
        <v>6402</v>
      </c>
      <c r="B6958" s="1">
        <v>1026214</v>
      </c>
      <c r="C6958" s="1">
        <v>6111</v>
      </c>
      <c r="D6958" s="2">
        <v>42418</v>
      </c>
      <c r="E6958" s="1" t="s">
        <v>18</v>
      </c>
      <c r="F6958" t="str">
        <f>HYPERLINK("http://www.sec.gov/Archives/edgar/data/1026214/0001026214-16-000103-index.html")</f>
        <v>http://www.sec.gov/Archives/edgar/data/1026214/0001026214-16-000103-index.html</v>
      </c>
    </row>
    <row r="6959" spans="1:6" x14ac:dyDescent="0.2">
      <c r="A6959" t="s">
        <v>6403</v>
      </c>
      <c r="B6959" s="1">
        <v>1047862</v>
      </c>
      <c r="C6959" s="1">
        <v>4931</v>
      </c>
      <c r="D6959" s="2">
        <v>42418</v>
      </c>
      <c r="E6959" s="1" t="s">
        <v>18</v>
      </c>
      <c r="F6959" t="str">
        <f>HYPERLINK("http://www.sec.gov/Archives/edgar/data/1047862/0001047862-16-000225-index.html")</f>
        <v>http://www.sec.gov/Archives/edgar/data/1047862/0001047862-16-000225-index.html</v>
      </c>
    </row>
    <row r="6960" spans="1:6" x14ac:dyDescent="0.2">
      <c r="A6960" t="s">
        <v>6404</v>
      </c>
      <c r="B6960" s="1">
        <v>1048286</v>
      </c>
      <c r="C6960" s="1">
        <v>7011</v>
      </c>
      <c r="D6960" s="2">
        <v>42418</v>
      </c>
      <c r="E6960" s="1" t="s">
        <v>18</v>
      </c>
      <c r="F6960" t="str">
        <f>HYPERLINK("http://www.sec.gov/Archives/edgar/data/1048286/0001628280-16-011346-index.html")</f>
        <v>http://www.sec.gov/Archives/edgar/data/1048286/0001628280-16-011346-index.html</v>
      </c>
    </row>
    <row r="6961" spans="1:6" x14ac:dyDescent="0.2">
      <c r="A6961" t="s">
        <v>6405</v>
      </c>
      <c r="B6961" s="1">
        <v>1053532</v>
      </c>
      <c r="C6961" s="1">
        <v>6798</v>
      </c>
      <c r="D6961" s="2">
        <v>42418</v>
      </c>
      <c r="E6961" s="1" t="s">
        <v>18</v>
      </c>
      <c r="F6961" t="str">
        <f>HYPERLINK("http://www.sec.gov/Archives/edgar/data/1053532/0001053532-16-000045-index.html")</f>
        <v>http://www.sec.gov/Archives/edgar/data/1053532/0001053532-16-000045-index.html</v>
      </c>
    </row>
    <row r="6962" spans="1:6" x14ac:dyDescent="0.2">
      <c r="A6962" t="s">
        <v>6406</v>
      </c>
      <c r="B6962" s="1">
        <v>1053584</v>
      </c>
      <c r="C6962" s="1">
        <v>6022</v>
      </c>
      <c r="D6962" s="2">
        <v>42418</v>
      </c>
      <c r="E6962" s="1" t="s">
        <v>18</v>
      </c>
      <c r="F6962" t="str">
        <f>HYPERLINK("http://www.sec.gov/Archives/edgar/data/1053584/0001140361-16-053923-index.html")</f>
        <v>http://www.sec.gov/Archives/edgar/data/1053584/0001140361-16-053923-index.html</v>
      </c>
    </row>
    <row r="6963" spans="1:6" x14ac:dyDescent="0.2">
      <c r="A6963" t="s">
        <v>6407</v>
      </c>
      <c r="B6963" s="1">
        <v>1055160</v>
      </c>
      <c r="C6963" s="1">
        <v>6798</v>
      </c>
      <c r="D6963" s="2">
        <v>42418</v>
      </c>
      <c r="E6963" s="1" t="s">
        <v>18</v>
      </c>
      <c r="F6963" t="str">
        <f>HYPERLINK("http://www.sec.gov/Archives/edgar/data/1055160/0001055160-16-000119-index.html")</f>
        <v>http://www.sec.gov/Archives/edgar/data/1055160/0001055160-16-000119-index.html</v>
      </c>
    </row>
    <row r="6964" spans="1:6" x14ac:dyDescent="0.2">
      <c r="A6964" t="s">
        <v>6408</v>
      </c>
      <c r="B6964" s="1">
        <v>1056386</v>
      </c>
      <c r="C6964" s="1">
        <v>7370</v>
      </c>
      <c r="D6964" s="2">
        <v>42418</v>
      </c>
      <c r="E6964" s="1" t="s">
        <v>18</v>
      </c>
      <c r="F6964" t="str">
        <f>HYPERLINK("http://www.sec.gov/Archives/edgar/data/1056386/0001571049-16-011923-index.html")</f>
        <v>http://www.sec.gov/Archives/edgar/data/1056386/0001571049-16-011923-index.html</v>
      </c>
    </row>
    <row r="6965" spans="1:6" x14ac:dyDescent="0.2">
      <c r="A6965" t="s">
        <v>6409</v>
      </c>
      <c r="B6965" s="1">
        <v>1057877</v>
      </c>
      <c r="C6965" s="1">
        <v>4911</v>
      </c>
      <c r="D6965" s="2">
        <v>42418</v>
      </c>
      <c r="E6965" s="1" t="s">
        <v>18</v>
      </c>
      <c r="F6965" t="str">
        <f>HYPERLINK("http://www.sec.gov/Archives/edgar/data/1057877/0001057877-16-000209-index.html")</f>
        <v>http://www.sec.gov/Archives/edgar/data/1057877/0001057877-16-000209-index.html</v>
      </c>
    </row>
    <row r="6966" spans="1:6" x14ac:dyDescent="0.2">
      <c r="A6966" t="s">
        <v>6410</v>
      </c>
      <c r="B6966" s="1">
        <v>1066247</v>
      </c>
      <c r="C6966" s="1">
        <v>6500</v>
      </c>
      <c r="D6966" s="2">
        <v>42418</v>
      </c>
      <c r="E6966" s="1" t="s">
        <v>18</v>
      </c>
      <c r="F6966" t="str">
        <f>HYPERLINK("http://www.sec.gov/Archives/edgar/data/1066247/0000910606-16-000047-index.html")</f>
        <v>http://www.sec.gov/Archives/edgar/data/1066247/0000910606-16-000047-index.html</v>
      </c>
    </row>
    <row r="6967" spans="1:6" x14ac:dyDescent="0.2">
      <c r="A6967" t="s">
        <v>6411</v>
      </c>
      <c r="B6967" s="1">
        <v>1077428</v>
      </c>
      <c r="C6967" s="1">
        <v>6022</v>
      </c>
      <c r="D6967" s="2">
        <v>42418</v>
      </c>
      <c r="E6967" s="1" t="s">
        <v>18</v>
      </c>
      <c r="F6967" t="str">
        <f>HYPERLINK("http://www.sec.gov/Archives/edgar/data/1077428/0001077428-16-000031-index.html")</f>
        <v>http://www.sec.gov/Archives/edgar/data/1077428/0001077428-16-000031-index.html</v>
      </c>
    </row>
    <row r="6968" spans="1:6" x14ac:dyDescent="0.2">
      <c r="A6968" t="s">
        <v>6412</v>
      </c>
      <c r="B6968" s="1">
        <v>1104349</v>
      </c>
      <c r="C6968" s="1">
        <v>8200</v>
      </c>
      <c r="D6968" s="2">
        <v>42418</v>
      </c>
      <c r="E6968" s="1" t="s">
        <v>18</v>
      </c>
      <c r="F6968" t="str">
        <f>HYPERLINK("http://www.sec.gov/Archives/edgar/data/1104349/0001104349-16-000042-index.html")</f>
        <v>http://www.sec.gov/Archives/edgar/data/1104349/0001104349-16-000042-index.html</v>
      </c>
    </row>
    <row r="6969" spans="1:6" x14ac:dyDescent="0.2">
      <c r="A6969" t="s">
        <v>6413</v>
      </c>
      <c r="B6969" s="1">
        <v>1111711</v>
      </c>
      <c r="C6969" s="1">
        <v>4931</v>
      </c>
      <c r="D6969" s="2">
        <v>42418</v>
      </c>
      <c r="E6969" s="1" t="s">
        <v>18</v>
      </c>
      <c r="F6969" t="str">
        <f>HYPERLINK("http://www.sec.gov/Archives/edgar/data/1111711/0001111711-16-000049-index.html")</f>
        <v>http://www.sec.gov/Archives/edgar/data/1111711/0001111711-16-000049-index.html</v>
      </c>
    </row>
    <row r="6970" spans="1:6" x14ac:dyDescent="0.2">
      <c r="A6970" t="s">
        <v>6414</v>
      </c>
      <c r="B6970" s="1">
        <v>1124198</v>
      </c>
      <c r="C6970" s="1">
        <v>1600</v>
      </c>
      <c r="D6970" s="2">
        <v>42418</v>
      </c>
      <c r="E6970" s="1" t="s">
        <v>18</v>
      </c>
      <c r="F6970" t="str">
        <f>HYPERLINK("http://www.sec.gov/Archives/edgar/data/1124198/0001047469-16-010220-index.html")</f>
        <v>http://www.sec.gov/Archives/edgar/data/1124198/0001047469-16-010220-index.html</v>
      </c>
    </row>
    <row r="6971" spans="1:6" x14ac:dyDescent="0.2">
      <c r="A6971" t="s">
        <v>6415</v>
      </c>
      <c r="B6971" s="1">
        <v>1135185</v>
      </c>
      <c r="C6971" s="1">
        <v>4522</v>
      </c>
      <c r="D6971" s="2">
        <v>42418</v>
      </c>
      <c r="E6971" s="1" t="s">
        <v>18</v>
      </c>
      <c r="F6971" t="str">
        <f>HYPERLINK("http://www.sec.gov/Archives/edgar/data/1135185/0001193125-16-468116-index.html")</f>
        <v>http://www.sec.gov/Archives/edgar/data/1135185/0001193125-16-468116-index.html</v>
      </c>
    </row>
    <row r="6972" spans="1:6" x14ac:dyDescent="0.2">
      <c r="A6972" t="s">
        <v>6416</v>
      </c>
      <c r="B6972" s="1">
        <v>1169770</v>
      </c>
      <c r="C6972" s="1">
        <v>6021</v>
      </c>
      <c r="D6972" s="2">
        <v>42418</v>
      </c>
      <c r="E6972" s="1" t="s">
        <v>18</v>
      </c>
      <c r="F6972" t="str">
        <f>HYPERLINK("http://www.sec.gov/Archives/edgar/data/1169770/0001169770-16-000016-index.html")</f>
        <v>http://www.sec.gov/Archives/edgar/data/1169770/0001169770-16-000016-index.html</v>
      </c>
    </row>
    <row r="6973" spans="1:6" x14ac:dyDescent="0.2">
      <c r="A6973" t="s">
        <v>6417</v>
      </c>
      <c r="B6973" s="1">
        <v>1292653</v>
      </c>
      <c r="C6973" s="1">
        <v>4813</v>
      </c>
      <c r="D6973" s="2">
        <v>42418</v>
      </c>
      <c r="E6973" s="1" t="s">
        <v>18</v>
      </c>
      <c r="F6973" t="str">
        <f>HYPERLINK("http://www.sec.gov/Archives/edgar/data/1292653/0001564590-16-012849-index.html")</f>
        <v>http://www.sec.gov/Archives/edgar/data/1292653/0001564590-16-012849-index.html</v>
      </c>
    </row>
    <row r="6974" spans="1:6" x14ac:dyDescent="0.2">
      <c r="A6974" t="s">
        <v>6418</v>
      </c>
      <c r="B6974" s="1">
        <v>1309402</v>
      </c>
      <c r="C6974" s="1">
        <v>1311</v>
      </c>
      <c r="D6974" s="2">
        <v>42418</v>
      </c>
      <c r="E6974" s="1" t="s">
        <v>18</v>
      </c>
      <c r="F6974" t="str">
        <f>HYPERLINK("http://www.sec.gov/Archives/edgar/data/1309402/0001309402-16-000149-index.html")</f>
        <v>http://www.sec.gov/Archives/edgar/data/1309402/0001309402-16-000149-index.html</v>
      </c>
    </row>
    <row r="6975" spans="1:6" x14ac:dyDescent="0.2">
      <c r="A6975" t="s">
        <v>6419</v>
      </c>
      <c r="B6975" s="1">
        <v>1320695</v>
      </c>
      <c r="C6975" s="1">
        <v>2030</v>
      </c>
      <c r="D6975" s="2">
        <v>42418</v>
      </c>
      <c r="E6975" s="1" t="s">
        <v>18</v>
      </c>
      <c r="F6975" t="str">
        <f>HYPERLINK("http://www.sec.gov/Archives/edgar/data/1320695/0001193125-16-468305-index.html")</f>
        <v>http://www.sec.gov/Archives/edgar/data/1320695/0001193125-16-468305-index.html</v>
      </c>
    </row>
    <row r="6976" spans="1:6" x14ac:dyDescent="0.2">
      <c r="A6976" t="s">
        <v>6420</v>
      </c>
      <c r="B6976" s="1">
        <v>1347858</v>
      </c>
      <c r="C6976" s="1">
        <v>2111</v>
      </c>
      <c r="D6976" s="2">
        <v>42418</v>
      </c>
      <c r="E6976" s="1" t="s">
        <v>18</v>
      </c>
      <c r="F6976" t="str">
        <f>HYPERLINK("http://www.sec.gov/Archives/edgar/data/1347858/0001144204-16-083153-index.html")</f>
        <v>http://www.sec.gov/Archives/edgar/data/1347858/0001144204-16-083153-index.html</v>
      </c>
    </row>
    <row r="6977" spans="1:6" x14ac:dyDescent="0.2">
      <c r="A6977" t="s">
        <v>6421</v>
      </c>
      <c r="B6977" s="1">
        <v>1357204</v>
      </c>
      <c r="C6977" s="1">
        <v>5810</v>
      </c>
      <c r="D6977" s="2">
        <v>42418</v>
      </c>
      <c r="E6977" s="1" t="s">
        <v>18</v>
      </c>
      <c r="F6977" t="str">
        <f>HYPERLINK("http://www.sec.gov/Archives/edgar/data/1357204/0001357204-16-000070-index.html")</f>
        <v>http://www.sec.gov/Archives/edgar/data/1357204/0001357204-16-000070-index.html</v>
      </c>
    </row>
    <row r="6978" spans="1:6" x14ac:dyDescent="0.2">
      <c r="A6978" t="s">
        <v>6422</v>
      </c>
      <c r="B6978" s="1">
        <v>1383183</v>
      </c>
      <c r="C6978" s="1">
        <v>8090</v>
      </c>
      <c r="D6978" s="2">
        <v>42418</v>
      </c>
      <c r="E6978" s="1" t="s">
        <v>18</v>
      </c>
      <c r="F6978" t="str">
        <f>HYPERLINK("http://www.sec.gov/Archives/edgar/data/1383183/0001104659-16-098089-index.html")</f>
        <v>http://www.sec.gov/Archives/edgar/data/1383183/0001104659-16-098089-index.html</v>
      </c>
    </row>
    <row r="6979" spans="1:6" x14ac:dyDescent="0.2">
      <c r="A6979" t="s">
        <v>6423</v>
      </c>
      <c r="B6979" s="1">
        <v>1395942</v>
      </c>
      <c r="C6979" s="1">
        <v>5500</v>
      </c>
      <c r="D6979" s="2">
        <v>42418</v>
      </c>
      <c r="E6979" s="1" t="s">
        <v>18</v>
      </c>
      <c r="F6979" t="str">
        <f>HYPERLINK("http://www.sec.gov/Archives/edgar/data/1395942/0001395942-16-000261-index.html")</f>
        <v>http://www.sec.gov/Archives/edgar/data/1395942/0001395942-16-000261-index.html</v>
      </c>
    </row>
    <row r="6980" spans="1:6" x14ac:dyDescent="0.2">
      <c r="A6980" t="s">
        <v>6424</v>
      </c>
      <c r="B6980" s="1">
        <v>1405495</v>
      </c>
      <c r="D6980" s="2">
        <v>42418</v>
      </c>
      <c r="E6980" s="1" t="s">
        <v>18</v>
      </c>
      <c r="F6980" t="str">
        <f>HYPERLINK("http://www.sec.gov/Archives/edgar/data/1405495/0001405495-16-000047-index.html")</f>
        <v>http://www.sec.gov/Archives/edgar/data/1405495/0001405495-16-000047-index.html</v>
      </c>
    </row>
    <row r="6981" spans="1:6" x14ac:dyDescent="0.2">
      <c r="A6981" t="s">
        <v>6425</v>
      </c>
      <c r="B6981" s="1">
        <v>1420783</v>
      </c>
      <c r="C6981" s="1">
        <v>4922</v>
      </c>
      <c r="D6981" s="2">
        <v>42418</v>
      </c>
      <c r="E6981" s="1" t="s">
        <v>18</v>
      </c>
      <c r="F6981" t="str">
        <f>HYPERLINK("http://www.sec.gov/Archives/edgar/data/1420783/0001420783-16-000035-index.html")</f>
        <v>http://www.sec.gov/Archives/edgar/data/1420783/0001420783-16-000035-index.html</v>
      </c>
    </row>
    <row r="6982" spans="1:6" x14ac:dyDescent="0.2">
      <c r="A6982" t="s">
        <v>6426</v>
      </c>
      <c r="B6982" s="1">
        <v>1424755</v>
      </c>
      <c r="C6982" s="1">
        <v>4700</v>
      </c>
      <c r="D6982" s="2">
        <v>42418</v>
      </c>
      <c r="E6982" s="1" t="s">
        <v>18</v>
      </c>
      <c r="F6982" t="str">
        <f>HYPERLINK("http://www.sec.gov/Archives/edgar/data/1424755/0001571049-16-011912-index.html")</f>
        <v>http://www.sec.gov/Archives/edgar/data/1424755/0001571049-16-011912-index.html</v>
      </c>
    </row>
    <row r="6983" spans="1:6" x14ac:dyDescent="0.2">
      <c r="A6983" t="s">
        <v>6427</v>
      </c>
      <c r="B6983" s="1">
        <v>1425292</v>
      </c>
      <c r="C6983" s="1">
        <v>4700</v>
      </c>
      <c r="D6983" s="2">
        <v>42418</v>
      </c>
      <c r="E6983" s="1" t="s">
        <v>18</v>
      </c>
      <c r="F6983" t="str">
        <f>HYPERLINK("http://www.sec.gov/Archives/edgar/data/1425292/0001425292-16-000092-index.html")</f>
        <v>http://www.sec.gov/Archives/edgar/data/1425292/0001425292-16-000092-index.html</v>
      </c>
    </row>
    <row r="6984" spans="1:6" x14ac:dyDescent="0.2">
      <c r="A6984" t="s">
        <v>6428</v>
      </c>
      <c r="B6984" s="1">
        <v>1428205</v>
      </c>
      <c r="C6984" s="1">
        <v>2834</v>
      </c>
      <c r="D6984" s="2">
        <v>42418</v>
      </c>
      <c r="E6984" s="1" t="s">
        <v>18</v>
      </c>
      <c r="F6984" t="str">
        <f>HYPERLINK("http://www.sec.gov/Archives/edgar/data/1428205/0001428205-16-000300-index.html")</f>
        <v>http://www.sec.gov/Archives/edgar/data/1428205/0001428205-16-000300-index.html</v>
      </c>
    </row>
    <row r="6985" spans="1:6" x14ac:dyDescent="0.2">
      <c r="A6985" t="s">
        <v>6429</v>
      </c>
      <c r="B6985" s="1">
        <v>1437107</v>
      </c>
      <c r="C6985" s="1">
        <v>4841</v>
      </c>
      <c r="D6985" s="2">
        <v>42418</v>
      </c>
      <c r="E6985" s="1" t="s">
        <v>18</v>
      </c>
      <c r="F6985" t="str">
        <f>HYPERLINK("http://www.sec.gov/Archives/edgar/data/1437107/0001437107-16-000059-index.html")</f>
        <v>http://www.sec.gov/Archives/edgar/data/1437107/0001437107-16-000059-index.html</v>
      </c>
    </row>
    <row r="6986" spans="1:6" x14ac:dyDescent="0.2">
      <c r="A6986" t="s">
        <v>6430</v>
      </c>
      <c r="B6986" s="1">
        <v>1441849</v>
      </c>
      <c r="C6986" s="1">
        <v>2834</v>
      </c>
      <c r="D6986" s="2">
        <v>42418</v>
      </c>
      <c r="E6986" s="1" t="s">
        <v>18</v>
      </c>
      <c r="F6986" t="str">
        <f>HYPERLINK("http://www.sec.gov/Archives/edgar/data/1441849/0001104659-16-097811-index.html")</f>
        <v>http://www.sec.gov/Archives/edgar/data/1441849/0001104659-16-097811-index.html</v>
      </c>
    </row>
    <row r="6987" spans="1:6" x14ac:dyDescent="0.2">
      <c r="A6987" t="s">
        <v>6431</v>
      </c>
      <c r="B6987" s="1">
        <v>1456772</v>
      </c>
      <c r="D6987" s="2">
        <v>42418</v>
      </c>
      <c r="E6987" s="1" t="s">
        <v>18</v>
      </c>
      <c r="F6987" t="str">
        <f>HYPERLINK("http://www.sec.gov/Archives/edgar/data/1456772/0001558370-16-003282-index.html")</f>
        <v>http://www.sec.gov/Archives/edgar/data/1456772/0001558370-16-003282-index.html</v>
      </c>
    </row>
    <row r="6988" spans="1:6" x14ac:dyDescent="0.2">
      <c r="A6988" t="s">
        <v>6432</v>
      </c>
      <c r="B6988" s="1">
        <v>1468174</v>
      </c>
      <c r="C6988" s="1">
        <v>7011</v>
      </c>
      <c r="D6988" s="2">
        <v>42418</v>
      </c>
      <c r="E6988" s="1" t="s">
        <v>18</v>
      </c>
      <c r="F6988" t="str">
        <f>HYPERLINK("http://www.sec.gov/Archives/edgar/data/1468174/0001468174-16-000152-index.html")</f>
        <v>http://www.sec.gov/Archives/edgar/data/1468174/0001468174-16-000152-index.html</v>
      </c>
    </row>
    <row r="6989" spans="1:6" x14ac:dyDescent="0.2">
      <c r="A6989" t="s">
        <v>6433</v>
      </c>
      <c r="B6989" s="1">
        <v>1473078</v>
      </c>
      <c r="C6989" s="1">
        <v>6798</v>
      </c>
      <c r="D6989" s="2">
        <v>42418</v>
      </c>
      <c r="E6989" s="1" t="s">
        <v>18</v>
      </c>
      <c r="F6989" t="str">
        <f>HYPERLINK("http://www.sec.gov/Archives/edgar/data/1473078/0001473078-16-000048-index.html")</f>
        <v>http://www.sec.gov/Archives/edgar/data/1473078/0001473078-16-000048-index.html</v>
      </c>
    </row>
    <row r="6990" spans="1:6" x14ac:dyDescent="0.2">
      <c r="A6990" t="s">
        <v>6434</v>
      </c>
      <c r="B6990" s="1">
        <v>1501585</v>
      </c>
      <c r="C6990" s="1">
        <v>6798</v>
      </c>
      <c r="D6990" s="2">
        <v>42418</v>
      </c>
      <c r="E6990" s="1" t="s">
        <v>18</v>
      </c>
      <c r="F6990" t="str">
        <f>HYPERLINK("http://www.sec.gov/Archives/edgar/data/1501585/0001501585-16-000038-index.html")</f>
        <v>http://www.sec.gov/Archives/edgar/data/1501585/0001501585-16-000038-index.html</v>
      </c>
    </row>
    <row r="6991" spans="1:6" x14ac:dyDescent="0.2">
      <c r="A6991" t="s">
        <v>6435</v>
      </c>
      <c r="B6991" s="1">
        <v>1514705</v>
      </c>
      <c r="C6991" s="1">
        <v>3312</v>
      </c>
      <c r="D6991" s="2">
        <v>42418</v>
      </c>
      <c r="E6991" s="1" t="s">
        <v>18</v>
      </c>
      <c r="F6991" t="str">
        <f>HYPERLINK("http://www.sec.gov/Archives/edgar/data/1514705/0001628280-16-011369-index.html")</f>
        <v>http://www.sec.gov/Archives/edgar/data/1514705/0001628280-16-011369-index.html</v>
      </c>
    </row>
    <row r="6992" spans="1:6" x14ac:dyDescent="0.2">
      <c r="A6992" t="s">
        <v>72</v>
      </c>
      <c r="B6992" s="1">
        <v>1516805</v>
      </c>
      <c r="C6992" s="1">
        <v>7370</v>
      </c>
      <c r="D6992" s="2">
        <v>42418</v>
      </c>
      <c r="E6992" s="1" t="s">
        <v>42</v>
      </c>
      <c r="F6992" t="str">
        <f>HYPERLINK("http://www.sec.gov/Archives/edgar/data/1516805/0001213900-16-011042-index.html")</f>
        <v>http://www.sec.gov/Archives/edgar/data/1516805/0001213900-16-011042-index.html</v>
      </c>
    </row>
    <row r="6993" spans="1:6" x14ac:dyDescent="0.2">
      <c r="A6993" t="s">
        <v>6436</v>
      </c>
      <c r="B6993" s="1">
        <v>1526520</v>
      </c>
      <c r="C6993" s="1">
        <v>5812</v>
      </c>
      <c r="D6993" s="2">
        <v>42418</v>
      </c>
      <c r="E6993" s="1" t="s">
        <v>18</v>
      </c>
      <c r="F6993" t="str">
        <f>HYPERLINK("http://www.sec.gov/Archives/edgar/data/1526520/0001564590-16-012862-index.html")</f>
        <v>http://www.sec.gov/Archives/edgar/data/1526520/0001564590-16-012862-index.html</v>
      </c>
    </row>
    <row r="6994" spans="1:6" x14ac:dyDescent="0.2">
      <c r="A6994" t="s">
        <v>6437</v>
      </c>
      <c r="B6994" s="1">
        <v>1537028</v>
      </c>
      <c r="C6994" s="1">
        <v>1381</v>
      </c>
      <c r="D6994" s="2">
        <v>42418</v>
      </c>
      <c r="E6994" s="1" t="s">
        <v>18</v>
      </c>
      <c r="F6994" t="str">
        <f>HYPERLINK("http://www.sec.gov/Archives/edgar/data/1537028/0001537028-16-000018-index.html")</f>
        <v>http://www.sec.gov/Archives/edgar/data/1537028/0001537028-16-000018-index.html</v>
      </c>
    </row>
    <row r="6995" spans="1:6" x14ac:dyDescent="0.2">
      <c r="A6995" t="s">
        <v>6438</v>
      </c>
      <c r="B6995" s="1">
        <v>1555538</v>
      </c>
      <c r="C6995" s="1">
        <v>3312</v>
      </c>
      <c r="D6995" s="2">
        <v>42418</v>
      </c>
      <c r="E6995" s="1" t="s">
        <v>18</v>
      </c>
      <c r="F6995" t="str">
        <f>HYPERLINK("http://www.sec.gov/Archives/edgar/data/1555538/0001628280-16-011370-index.html")</f>
        <v>http://www.sec.gov/Archives/edgar/data/1555538/0001628280-16-011370-index.html</v>
      </c>
    </row>
    <row r="6996" spans="1:6" x14ac:dyDescent="0.2">
      <c r="A6996" t="s">
        <v>1529</v>
      </c>
      <c r="B6996" s="1">
        <v>1565700</v>
      </c>
      <c r="C6996" s="1">
        <v>7374</v>
      </c>
      <c r="D6996" s="2">
        <v>42418</v>
      </c>
      <c r="E6996" s="1" t="s">
        <v>42</v>
      </c>
      <c r="F6996" t="str">
        <f>HYPERLINK("http://www.sec.gov/Archives/edgar/data/1565700/0001014897-16-000465-index.html")</f>
        <v>http://www.sec.gov/Archives/edgar/data/1565700/0001014897-16-000465-index.html</v>
      </c>
    </row>
    <row r="6997" spans="1:6" x14ac:dyDescent="0.2">
      <c r="A6997" t="s">
        <v>1628</v>
      </c>
      <c r="B6997" s="1">
        <v>1569055</v>
      </c>
      <c r="C6997" s="1">
        <v>4911</v>
      </c>
      <c r="D6997" s="2">
        <v>42418</v>
      </c>
      <c r="E6997" s="1" t="s">
        <v>42</v>
      </c>
      <c r="F6997" t="str">
        <f>HYPERLINK("http://www.sec.gov/Archives/edgar/data/1569055/0001493152-16-007503-index.html")</f>
        <v>http://www.sec.gov/Archives/edgar/data/1569055/0001493152-16-007503-index.html</v>
      </c>
    </row>
    <row r="6998" spans="1:6" x14ac:dyDescent="0.2">
      <c r="A6998" t="s">
        <v>6439</v>
      </c>
      <c r="B6998" s="1">
        <v>1587732</v>
      </c>
      <c r="C6998" s="1">
        <v>4924</v>
      </c>
      <c r="D6998" s="2">
        <v>42418</v>
      </c>
      <c r="E6998" s="1" t="s">
        <v>18</v>
      </c>
      <c r="F6998" t="str">
        <f>HYPERLINK("http://www.sec.gov/Archives/edgar/data/1587732/0001587732-16-000088-index.html")</f>
        <v>http://www.sec.gov/Archives/edgar/data/1587732/0001587732-16-000088-index.html</v>
      </c>
    </row>
    <row r="6999" spans="1:6" x14ac:dyDescent="0.2">
      <c r="A6999" t="s">
        <v>6440</v>
      </c>
      <c r="B6999" s="1">
        <v>1606745</v>
      </c>
      <c r="C6999" s="1">
        <v>7374</v>
      </c>
      <c r="D6999" s="2">
        <v>42418</v>
      </c>
      <c r="E6999" s="1" t="s">
        <v>18</v>
      </c>
      <c r="F6999" t="str">
        <f>HYPERLINK("http://www.sec.gov/Archives/edgar/data/1606745/0001558370-16-003284-index.html")</f>
        <v>http://www.sec.gov/Archives/edgar/data/1606745/0001558370-16-003284-index.html</v>
      </c>
    </row>
    <row r="7000" spans="1:6" x14ac:dyDescent="0.2">
      <c r="A7000" t="s">
        <v>6441</v>
      </c>
      <c r="B7000" s="1">
        <v>1610418</v>
      </c>
      <c r="C7000" s="1">
        <v>4922</v>
      </c>
      <c r="D7000" s="2">
        <v>42418</v>
      </c>
      <c r="E7000" s="1" t="s">
        <v>18</v>
      </c>
      <c r="F7000" t="str">
        <f>HYPERLINK("http://www.sec.gov/Archives/edgar/data/1610418/0001610418-16-000037-index.html")</f>
        <v>http://www.sec.gov/Archives/edgar/data/1610418/0001610418-16-000037-index.html</v>
      </c>
    </row>
    <row r="7001" spans="1:6" x14ac:dyDescent="0.2">
      <c r="A7001" t="s">
        <v>6442</v>
      </c>
      <c r="B7001" s="1">
        <v>1627811</v>
      </c>
      <c r="C7001" s="1">
        <v>6141</v>
      </c>
      <c r="D7001" s="2">
        <v>42418</v>
      </c>
      <c r="E7001" s="1" t="s">
        <v>18</v>
      </c>
      <c r="F7001" t="str">
        <f>HYPERLINK("http://www.sec.gov/Archives/edgar/data/1627811/0001493152-16-007494-index.html")</f>
        <v>http://www.sec.gov/Archives/edgar/data/1627811/0001493152-16-007494-index.html</v>
      </c>
    </row>
    <row r="7002" spans="1:6" x14ac:dyDescent="0.2">
      <c r="A7002" t="s">
        <v>6443</v>
      </c>
      <c r="B7002" s="1">
        <v>1629995</v>
      </c>
      <c r="C7002" s="1">
        <v>4922</v>
      </c>
      <c r="D7002" s="2">
        <v>42418</v>
      </c>
      <c r="E7002" s="1" t="s">
        <v>18</v>
      </c>
      <c r="F7002" t="str">
        <f>HYPERLINK("http://www.sec.gov/Archives/edgar/data/1629995/0001629995-16-000029-index.html")</f>
        <v>http://www.sec.gov/Archives/edgar/data/1629995/0001629995-16-000029-index.html</v>
      </c>
    </row>
    <row r="7003" spans="1:6" x14ac:dyDescent="0.2">
      <c r="A7003" t="s">
        <v>6444</v>
      </c>
      <c r="B7003" s="1">
        <v>1634291</v>
      </c>
      <c r="C7003" s="1">
        <v>6770</v>
      </c>
      <c r="D7003" s="2">
        <v>42418</v>
      </c>
      <c r="E7003" s="1" t="s">
        <v>18</v>
      </c>
      <c r="F7003" t="str">
        <f>HYPERLINK("http://www.sec.gov/Archives/edgar/data/1634291/0001657250-16-000022-index.html")</f>
        <v>http://www.sec.gov/Archives/edgar/data/1634291/0001657250-16-000022-index.html</v>
      </c>
    </row>
    <row r="7004" spans="1:6" x14ac:dyDescent="0.2">
      <c r="A7004" t="s">
        <v>6445</v>
      </c>
      <c r="B7004" s="1">
        <v>1635650</v>
      </c>
      <c r="C7004" s="1">
        <v>2860</v>
      </c>
      <c r="D7004" s="2">
        <v>42418</v>
      </c>
      <c r="E7004" s="1" t="s">
        <v>18</v>
      </c>
      <c r="F7004" t="str">
        <f>HYPERLINK("http://www.sec.gov/Archives/edgar/data/1635650/0001635650-16-000060-index.html")</f>
        <v>http://www.sec.gov/Archives/edgar/data/1635650/0001635650-16-000060-index.html</v>
      </c>
    </row>
    <row r="7005" spans="1:6" x14ac:dyDescent="0.2">
      <c r="A7005" t="s">
        <v>6446</v>
      </c>
      <c r="B7005" s="1">
        <v>21665</v>
      </c>
      <c r="C7005" s="1">
        <v>2844</v>
      </c>
      <c r="D7005" s="2">
        <v>42418</v>
      </c>
      <c r="E7005" s="1" t="s">
        <v>18</v>
      </c>
      <c r="F7005" t="str">
        <f>HYPERLINK("http://www.sec.gov/Archives/edgar/data/21665/0001628280-16-011343-index.html")</f>
        <v>http://www.sec.gov/Archives/edgar/data/21665/0001628280-16-011343-index.html</v>
      </c>
    </row>
    <row r="7006" spans="1:6" x14ac:dyDescent="0.2">
      <c r="A7006" t="s">
        <v>6447</v>
      </c>
      <c r="B7006" s="1">
        <v>23632</v>
      </c>
      <c r="C7006" s="1">
        <v>4931</v>
      </c>
      <c r="D7006" s="2">
        <v>42418</v>
      </c>
      <c r="E7006" s="1" t="s">
        <v>18</v>
      </c>
      <c r="F7006" t="str">
        <f>HYPERLINK("http://www.sec.gov/Archives/edgar/data/23632/0001047862-16-000225-index.html")</f>
        <v>http://www.sec.gov/Archives/edgar/data/23632/0001047862-16-000225-index.html</v>
      </c>
    </row>
    <row r="7007" spans="1:6" x14ac:dyDescent="0.2">
      <c r="A7007" t="s">
        <v>6448</v>
      </c>
      <c r="B7007" s="1">
        <v>2488</v>
      </c>
      <c r="C7007" s="1">
        <v>3674</v>
      </c>
      <c r="D7007" s="2">
        <v>42418</v>
      </c>
      <c r="E7007" s="1" t="s">
        <v>18</v>
      </c>
      <c r="F7007" t="str">
        <f>HYPERLINK("http://www.sec.gov/Archives/edgar/data/2488/0000002488-16-000111-index.html")</f>
        <v>http://www.sec.gov/Archives/edgar/data/2488/0000002488-16-000111-index.html</v>
      </c>
    </row>
    <row r="7008" spans="1:6" x14ac:dyDescent="0.2">
      <c r="A7008" t="s">
        <v>6449</v>
      </c>
      <c r="B7008" s="1">
        <v>26780</v>
      </c>
      <c r="C7008" s="1">
        <v>3714</v>
      </c>
      <c r="D7008" s="2">
        <v>42418</v>
      </c>
      <c r="E7008" s="1" t="s">
        <v>18</v>
      </c>
      <c r="F7008" t="str">
        <f>HYPERLINK("http://www.sec.gov/Archives/edgar/data/26780/0000026780-16-000019-index.html")</f>
        <v>http://www.sec.gov/Archives/edgar/data/26780/0000026780-16-000019-index.html</v>
      </c>
    </row>
    <row r="7009" spans="1:6" x14ac:dyDescent="0.2">
      <c r="A7009" t="s">
        <v>6450</v>
      </c>
      <c r="B7009" s="1">
        <v>30625</v>
      </c>
      <c r="C7009" s="1">
        <v>3561</v>
      </c>
      <c r="D7009" s="2">
        <v>42418</v>
      </c>
      <c r="E7009" s="1" t="s">
        <v>18</v>
      </c>
      <c r="F7009" t="str">
        <f>HYPERLINK("http://www.sec.gov/Archives/edgar/data/30625/0000030625-16-000121-index.html")</f>
        <v>http://www.sec.gov/Archives/edgar/data/30625/0000030625-16-000121-index.html</v>
      </c>
    </row>
    <row r="7010" spans="1:6" x14ac:dyDescent="0.2">
      <c r="A7010" t="s">
        <v>6451</v>
      </c>
      <c r="B7010" s="1">
        <v>319687</v>
      </c>
      <c r="C7010" s="1">
        <v>4512</v>
      </c>
      <c r="D7010" s="2">
        <v>42418</v>
      </c>
      <c r="E7010" s="1" t="s">
        <v>18</v>
      </c>
      <c r="F7010" t="str">
        <f>HYPERLINK("http://www.sec.gov/Archives/edgar/data/319687/0001193125-16-468479-index.html")</f>
        <v>http://www.sec.gov/Archives/edgar/data/319687/0001193125-16-468479-index.html</v>
      </c>
    </row>
    <row r="7011" spans="1:6" x14ac:dyDescent="0.2">
      <c r="A7011" t="s">
        <v>6452</v>
      </c>
      <c r="B7011" s="1">
        <v>48898</v>
      </c>
      <c r="C7011" s="1">
        <v>3670</v>
      </c>
      <c r="D7011" s="2">
        <v>42418</v>
      </c>
      <c r="E7011" s="1" t="s">
        <v>18</v>
      </c>
      <c r="F7011" t="str">
        <f>HYPERLINK("http://www.sec.gov/Archives/edgar/data/48898/0001628280-16-011342-index.html")</f>
        <v>http://www.sec.gov/Archives/edgar/data/48898/0001628280-16-011342-index.html</v>
      </c>
    </row>
    <row r="7012" spans="1:6" x14ac:dyDescent="0.2">
      <c r="A7012" t="s">
        <v>6453</v>
      </c>
      <c r="B7012" s="1">
        <v>49071</v>
      </c>
      <c r="C7012" s="1">
        <v>6324</v>
      </c>
      <c r="D7012" s="2">
        <v>42418</v>
      </c>
      <c r="E7012" s="1" t="s">
        <v>18</v>
      </c>
      <c r="F7012" t="str">
        <f>HYPERLINK("http://www.sec.gov/Archives/edgar/data/49071/0000049071-16-000117-index.html")</f>
        <v>http://www.sec.gov/Archives/edgar/data/49071/0000049071-16-000117-index.html</v>
      </c>
    </row>
    <row r="7013" spans="1:6" x14ac:dyDescent="0.2">
      <c r="A7013" t="s">
        <v>6454</v>
      </c>
      <c r="B7013" s="1">
        <v>49648</v>
      </c>
      <c r="C7013" s="1">
        <v>4911</v>
      </c>
      <c r="D7013" s="2">
        <v>42418</v>
      </c>
      <c r="E7013" s="1" t="s">
        <v>18</v>
      </c>
      <c r="F7013" t="str">
        <f>HYPERLINK("http://www.sec.gov/Archives/edgar/data/49648/0001057877-16-000209-index.html")</f>
        <v>http://www.sec.gov/Archives/edgar/data/49648/0001057877-16-000209-index.html</v>
      </c>
    </row>
    <row r="7014" spans="1:6" x14ac:dyDescent="0.2">
      <c r="A7014" t="s">
        <v>6455</v>
      </c>
      <c r="B7014" s="1">
        <v>55135</v>
      </c>
      <c r="C7014" s="1">
        <v>7363</v>
      </c>
      <c r="D7014" s="2">
        <v>42418</v>
      </c>
      <c r="E7014" s="1" t="s">
        <v>18</v>
      </c>
      <c r="F7014" t="str">
        <f>HYPERLINK("http://www.sec.gov/Archives/edgar/data/55135/0000055135-16-000093-index.html")</f>
        <v>http://www.sec.gov/Archives/edgar/data/55135/0000055135-16-000093-index.html</v>
      </c>
    </row>
    <row r="7015" spans="1:6" x14ac:dyDescent="0.2">
      <c r="A7015" t="s">
        <v>1565</v>
      </c>
      <c r="B7015" s="1">
        <v>68589</v>
      </c>
      <c r="C7015" s="1">
        <v>4924</v>
      </c>
      <c r="D7015" s="2">
        <v>42418</v>
      </c>
      <c r="E7015" s="1" t="s">
        <v>18</v>
      </c>
      <c r="F7015" t="str">
        <f>HYPERLINK("http://www.sec.gov/Archives/edgar/data/68589/0000751652-16-000260-index.html")</f>
        <v>http://www.sec.gov/Archives/edgar/data/68589/0000751652-16-000260-index.html</v>
      </c>
    </row>
    <row r="7016" spans="1:6" x14ac:dyDescent="0.2">
      <c r="A7016" t="s">
        <v>6456</v>
      </c>
      <c r="B7016" s="1">
        <v>701374</v>
      </c>
      <c r="C7016" s="1">
        <v>7990</v>
      </c>
      <c r="D7016" s="2">
        <v>42418</v>
      </c>
      <c r="E7016" s="1" t="s">
        <v>18</v>
      </c>
      <c r="F7016" t="str">
        <f>HYPERLINK("http://www.sec.gov/Archives/edgar/data/701374/0000701374-16-000189-index.html")</f>
        <v>http://www.sec.gov/Archives/edgar/data/701374/0000701374-16-000189-index.html</v>
      </c>
    </row>
    <row r="7017" spans="1:6" x14ac:dyDescent="0.2">
      <c r="A7017" t="s">
        <v>6457</v>
      </c>
      <c r="B7017" s="1">
        <v>703604</v>
      </c>
      <c r="C7017" s="1">
        <v>5080</v>
      </c>
      <c r="D7017" s="2">
        <v>42418</v>
      </c>
      <c r="E7017" s="1" t="s">
        <v>18</v>
      </c>
      <c r="F7017" t="str">
        <f>HYPERLINK("http://www.sec.gov/Archives/edgar/data/703604/0000703604-16-000131-index.html")</f>
        <v>http://www.sec.gov/Archives/edgar/data/703604/0000703604-16-000131-index.html</v>
      </c>
    </row>
    <row r="7018" spans="1:6" x14ac:dyDescent="0.2">
      <c r="A7018" t="s">
        <v>6458</v>
      </c>
      <c r="B7018" s="1">
        <v>716006</v>
      </c>
      <c r="C7018" s="1">
        <v>4213</v>
      </c>
      <c r="D7018" s="2">
        <v>42418</v>
      </c>
      <c r="E7018" s="1" t="s">
        <v>18</v>
      </c>
      <c r="F7018" t="str">
        <f>HYPERLINK("http://www.sec.gov/Archives/edgar/data/716006/0000716006-16-000049-index.html")</f>
        <v>http://www.sec.gov/Archives/edgar/data/716006/0000716006-16-000049-index.html</v>
      </c>
    </row>
    <row r="7019" spans="1:6" x14ac:dyDescent="0.2">
      <c r="A7019" t="s">
        <v>6459</v>
      </c>
      <c r="B7019" s="1">
        <v>724606</v>
      </c>
      <c r="C7019" s="1">
        <v>5812</v>
      </c>
      <c r="D7019" s="2">
        <v>42418</v>
      </c>
      <c r="E7019" s="1" t="s">
        <v>18</v>
      </c>
      <c r="F7019" t="str">
        <f>HYPERLINK("http://www.sec.gov/Archives/edgar/data/724606/0000724606-16-000042-index.html")</f>
        <v>http://www.sec.gov/Archives/edgar/data/724606/0000724606-16-000042-index.html</v>
      </c>
    </row>
    <row r="7020" spans="1:6" x14ac:dyDescent="0.2">
      <c r="A7020" t="s">
        <v>6460</v>
      </c>
      <c r="B7020" s="1">
        <v>732717</v>
      </c>
      <c r="C7020" s="1">
        <v>4813</v>
      </c>
      <c r="D7020" s="2">
        <v>42418</v>
      </c>
      <c r="E7020" s="1" t="s">
        <v>18</v>
      </c>
      <c r="F7020" t="str">
        <f>HYPERLINK("http://www.sec.gov/Archives/edgar/data/732717/0000732717-16-000147-index.html")</f>
        <v>http://www.sec.gov/Archives/edgar/data/732717/0000732717-16-000147-index.html</v>
      </c>
    </row>
    <row r="7021" spans="1:6" x14ac:dyDescent="0.2">
      <c r="A7021" t="s">
        <v>1567</v>
      </c>
      <c r="B7021" s="1">
        <v>751652</v>
      </c>
      <c r="C7021" s="1">
        <v>4923</v>
      </c>
      <c r="D7021" s="2">
        <v>42418</v>
      </c>
      <c r="E7021" s="1" t="s">
        <v>18</v>
      </c>
      <c r="F7021" t="str">
        <f>HYPERLINK("http://www.sec.gov/Archives/edgar/data/751652/0000751652-16-000260-index.html")</f>
        <v>http://www.sec.gov/Archives/edgar/data/751652/0000751652-16-000260-index.html</v>
      </c>
    </row>
    <row r="7022" spans="1:6" x14ac:dyDescent="0.2">
      <c r="A7022" t="s">
        <v>6461</v>
      </c>
      <c r="B7022" s="1">
        <v>75488</v>
      </c>
      <c r="C7022" s="1">
        <v>4931</v>
      </c>
      <c r="D7022" s="2">
        <v>42418</v>
      </c>
      <c r="E7022" s="1" t="s">
        <v>18</v>
      </c>
      <c r="F7022" t="str">
        <f>HYPERLINK("http://www.sec.gov/Archives/edgar/data/75488/0001004980-16-000065-index.html")</f>
        <v>http://www.sec.gov/Archives/edgar/data/75488/0001004980-16-000065-index.html</v>
      </c>
    </row>
    <row r="7023" spans="1:6" x14ac:dyDescent="0.2">
      <c r="A7023" t="s">
        <v>1569</v>
      </c>
      <c r="B7023" s="1">
        <v>764044</v>
      </c>
      <c r="C7023" s="1">
        <v>4922</v>
      </c>
      <c r="D7023" s="2">
        <v>42418</v>
      </c>
      <c r="E7023" s="1" t="s">
        <v>18</v>
      </c>
      <c r="F7023" t="str">
        <f>HYPERLINK("http://www.sec.gov/Archives/edgar/data/764044/0000751652-16-000260-index.html")</f>
        <v>http://www.sec.gov/Archives/edgar/data/764044/0000751652-16-000260-index.html</v>
      </c>
    </row>
    <row r="7024" spans="1:6" x14ac:dyDescent="0.2">
      <c r="A7024" t="s">
        <v>6462</v>
      </c>
      <c r="B7024" s="1">
        <v>766704</v>
      </c>
      <c r="C7024" s="1">
        <v>6798</v>
      </c>
      <c r="D7024" s="2">
        <v>42418</v>
      </c>
      <c r="E7024" s="1" t="s">
        <v>18</v>
      </c>
      <c r="F7024" t="str">
        <f>HYPERLINK("http://www.sec.gov/Archives/edgar/data/766704/0000766704-16-000055-index.html")</f>
        <v>http://www.sec.gov/Archives/edgar/data/766704/0000766704-16-000055-index.html</v>
      </c>
    </row>
    <row r="7025" spans="1:6" x14ac:dyDescent="0.2">
      <c r="A7025" t="s">
        <v>6463</v>
      </c>
      <c r="B7025" s="1">
        <v>793952</v>
      </c>
      <c r="C7025" s="1">
        <v>3751</v>
      </c>
      <c r="D7025" s="2">
        <v>42418</v>
      </c>
      <c r="E7025" s="1" t="s">
        <v>18</v>
      </c>
      <c r="F7025" t="str">
        <f>HYPERLINK("http://www.sec.gov/Archives/edgar/data/793952/0000793952-16-000047-index.html")</f>
        <v>http://www.sec.gov/Archives/edgar/data/793952/0000793952-16-000047-index.html</v>
      </c>
    </row>
    <row r="7026" spans="1:6" x14ac:dyDescent="0.2">
      <c r="A7026" t="s">
        <v>6464</v>
      </c>
      <c r="B7026" s="1">
        <v>79879</v>
      </c>
      <c r="C7026" s="1">
        <v>2851</v>
      </c>
      <c r="D7026" s="2">
        <v>42418</v>
      </c>
      <c r="E7026" s="1" t="s">
        <v>18</v>
      </c>
      <c r="F7026" t="str">
        <f>HYPERLINK("http://www.sec.gov/Archives/edgar/data/79879/0000079879-16-000065-index.html")</f>
        <v>http://www.sec.gov/Archives/edgar/data/79879/0000079879-16-000065-index.html</v>
      </c>
    </row>
    <row r="7027" spans="1:6" x14ac:dyDescent="0.2">
      <c r="A7027" t="s">
        <v>6465</v>
      </c>
      <c r="B7027" s="1">
        <v>803649</v>
      </c>
      <c r="C7027" s="1">
        <v>6798</v>
      </c>
      <c r="D7027" s="2">
        <v>42418</v>
      </c>
      <c r="E7027" s="1" t="s">
        <v>18</v>
      </c>
      <c r="F7027" t="str">
        <f>HYPERLINK("http://www.sec.gov/Archives/edgar/data/803649/0000803649-16-000024-index.html")</f>
        <v>http://www.sec.gov/Archives/edgar/data/803649/0000803649-16-000024-index.html</v>
      </c>
    </row>
    <row r="7028" spans="1:6" x14ac:dyDescent="0.2">
      <c r="A7028" t="s">
        <v>6466</v>
      </c>
      <c r="B7028" s="1">
        <v>805676</v>
      </c>
      <c r="C7028" s="1">
        <v>6021</v>
      </c>
      <c r="D7028" s="2">
        <v>42418</v>
      </c>
      <c r="E7028" s="1" t="s">
        <v>18</v>
      </c>
      <c r="F7028" t="str">
        <f>HYPERLINK("http://www.sec.gov/Archives/edgar/data/805676/0000805676-16-000144-index.html")</f>
        <v>http://www.sec.gov/Archives/edgar/data/805676/0000805676-16-000144-index.html</v>
      </c>
    </row>
    <row r="7029" spans="1:6" x14ac:dyDescent="0.2">
      <c r="A7029" t="s">
        <v>6467</v>
      </c>
      <c r="B7029" s="1">
        <v>810958</v>
      </c>
      <c r="C7029" s="1">
        <v>6022</v>
      </c>
      <c r="D7029" s="2">
        <v>42418</v>
      </c>
      <c r="E7029" s="1" t="s">
        <v>18</v>
      </c>
      <c r="F7029" t="str">
        <f>HYPERLINK("http://www.sec.gov/Archives/edgar/data/810958/0001144204-16-083170-index.html")</f>
        <v>http://www.sec.gov/Archives/edgar/data/810958/0001144204-16-083170-index.html</v>
      </c>
    </row>
    <row r="7030" spans="1:6" x14ac:dyDescent="0.2">
      <c r="A7030" t="s">
        <v>6468</v>
      </c>
      <c r="B7030" s="1">
        <v>813672</v>
      </c>
      <c r="C7030" s="1">
        <v>7372</v>
      </c>
      <c r="D7030" s="2">
        <v>42418</v>
      </c>
      <c r="E7030" s="1" t="s">
        <v>18</v>
      </c>
      <c r="F7030" t="str">
        <f>HYPERLINK("http://www.sec.gov/Archives/edgar/data/813672/0000813672-16-000040-index.html")</f>
        <v>http://www.sec.gov/Archives/edgar/data/813672/0000813672-16-000040-index.html</v>
      </c>
    </row>
    <row r="7031" spans="1:6" x14ac:dyDescent="0.2">
      <c r="A7031" t="s">
        <v>6469</v>
      </c>
      <c r="B7031" s="1">
        <v>823768</v>
      </c>
      <c r="C7031" s="1">
        <v>4953</v>
      </c>
      <c r="D7031" s="2">
        <v>42418</v>
      </c>
      <c r="E7031" s="1" t="s">
        <v>18</v>
      </c>
      <c r="F7031" t="str">
        <f>HYPERLINK("http://www.sec.gov/Archives/edgar/data/823768/0001193125-16-467957-index.html")</f>
        <v>http://www.sec.gov/Archives/edgar/data/823768/0001193125-16-467957-index.html</v>
      </c>
    </row>
    <row r="7032" spans="1:6" x14ac:dyDescent="0.2">
      <c r="A7032" t="s">
        <v>6470</v>
      </c>
      <c r="B7032" s="1">
        <v>849213</v>
      </c>
      <c r="C7032" s="1">
        <v>6798</v>
      </c>
      <c r="D7032" s="2">
        <v>42418</v>
      </c>
      <c r="E7032" s="1" t="s">
        <v>18</v>
      </c>
      <c r="F7032" t="str">
        <f>HYPERLINK("http://www.sec.gov/Archives/edgar/data/849213/0000849213-16-000183-index.html")</f>
        <v>http://www.sec.gov/Archives/edgar/data/849213/0000849213-16-000183-index.html</v>
      </c>
    </row>
    <row r="7033" spans="1:6" x14ac:dyDescent="0.2">
      <c r="A7033" t="s">
        <v>6471</v>
      </c>
      <c r="B7033" s="1">
        <v>877860</v>
      </c>
      <c r="C7033" s="1">
        <v>6798</v>
      </c>
      <c r="D7033" s="2">
        <v>42418</v>
      </c>
      <c r="E7033" s="1" t="s">
        <v>18</v>
      </c>
      <c r="F7033" t="str">
        <f>HYPERLINK("http://www.sec.gov/Archives/edgar/data/877860/0000877860-16-000104-index.html")</f>
        <v>http://www.sec.gov/Archives/edgar/data/877860/0000877860-16-000104-index.html</v>
      </c>
    </row>
    <row r="7034" spans="1:6" x14ac:dyDescent="0.2">
      <c r="A7034" t="s">
        <v>6472</v>
      </c>
      <c r="B7034" s="1">
        <v>877890</v>
      </c>
      <c r="C7034" s="1">
        <v>7372</v>
      </c>
      <c r="D7034" s="2">
        <v>42418</v>
      </c>
      <c r="E7034" s="1" t="s">
        <v>18</v>
      </c>
      <c r="F7034" t="str">
        <f>HYPERLINK("http://www.sec.gov/Archives/edgar/data/877890/0000877890-16-000184-index.html")</f>
        <v>http://www.sec.gov/Archives/edgar/data/877890/0000877890-16-000184-index.html</v>
      </c>
    </row>
    <row r="7035" spans="1:6" x14ac:dyDescent="0.2">
      <c r="A7035" t="s">
        <v>6473</v>
      </c>
      <c r="B7035" s="1">
        <v>89089</v>
      </c>
      <c r="C7035" s="1">
        <v>7200</v>
      </c>
      <c r="D7035" s="2">
        <v>42418</v>
      </c>
      <c r="E7035" s="1" t="s">
        <v>18</v>
      </c>
      <c r="F7035" t="str">
        <f>HYPERLINK("http://www.sec.gov/Archives/edgar/data/89089/0000089089-16-000035-index.html")</f>
        <v>http://www.sec.gov/Archives/edgar/data/89089/0000089089-16-000035-index.html</v>
      </c>
    </row>
    <row r="7036" spans="1:6" x14ac:dyDescent="0.2">
      <c r="A7036" t="s">
        <v>6474</v>
      </c>
      <c r="B7036" s="1">
        <v>910606</v>
      </c>
      <c r="C7036" s="1">
        <v>6798</v>
      </c>
      <c r="D7036" s="2">
        <v>42418</v>
      </c>
      <c r="E7036" s="1" t="s">
        <v>18</v>
      </c>
      <c r="F7036" t="str">
        <f>HYPERLINK("http://www.sec.gov/Archives/edgar/data/910606/0000910606-16-000047-index.html")</f>
        <v>http://www.sec.gov/Archives/edgar/data/910606/0000910606-16-000047-index.html</v>
      </c>
    </row>
    <row r="7037" spans="1:6" x14ac:dyDescent="0.2">
      <c r="A7037" t="s">
        <v>6475</v>
      </c>
      <c r="B7037" s="1">
        <v>912562</v>
      </c>
      <c r="C7037" s="1">
        <v>3310</v>
      </c>
      <c r="D7037" s="2">
        <v>42418</v>
      </c>
      <c r="E7037" s="1" t="s">
        <v>18</v>
      </c>
      <c r="F7037" t="str">
        <f>HYPERLINK("http://www.sec.gov/Archives/edgar/data/912562/0000912562-16-000073-index.html")</f>
        <v>http://www.sec.gov/Archives/edgar/data/912562/0000912562-16-000073-index.html</v>
      </c>
    </row>
    <row r="7038" spans="1:6" x14ac:dyDescent="0.2">
      <c r="A7038" t="s">
        <v>6476</v>
      </c>
      <c r="B7038" s="1">
        <v>913077</v>
      </c>
      <c r="C7038" s="1">
        <v>3826</v>
      </c>
      <c r="D7038" s="2">
        <v>42418</v>
      </c>
      <c r="E7038" s="1" t="s">
        <v>18</v>
      </c>
      <c r="F7038" t="str">
        <f>HYPERLINK("http://www.sec.gov/Archives/edgar/data/913077/0000913077-16-000033-index.html")</f>
        <v>http://www.sec.gov/Archives/edgar/data/913077/0000913077-16-000033-index.html</v>
      </c>
    </row>
    <row r="7039" spans="1:6" x14ac:dyDescent="0.2">
      <c r="A7039" t="s">
        <v>6477</v>
      </c>
      <c r="B7039" s="1">
        <v>918581</v>
      </c>
      <c r="C7039" s="1">
        <v>7371</v>
      </c>
      <c r="D7039" s="2">
        <v>42418</v>
      </c>
      <c r="E7039" s="1" t="s">
        <v>18</v>
      </c>
      <c r="F7039" t="str">
        <f>HYPERLINK("http://www.sec.gov/Archives/edgar/data/918581/0000918581-16-000141-index.html")</f>
        <v>http://www.sec.gov/Archives/edgar/data/918581/0000918581-16-000141-index.html</v>
      </c>
    </row>
    <row r="7040" spans="1:6" x14ac:dyDescent="0.2">
      <c r="A7040" t="s">
        <v>6478</v>
      </c>
      <c r="B7040" s="1">
        <v>949870</v>
      </c>
      <c r="C7040" s="1">
        <v>2082</v>
      </c>
      <c r="D7040" s="2">
        <v>42418</v>
      </c>
      <c r="E7040" s="1" t="s">
        <v>18</v>
      </c>
      <c r="F7040" t="str">
        <f>HYPERLINK("http://www.sec.gov/Archives/edgar/data/949870/0001193125-16-468386-index.html")</f>
        <v>http://www.sec.gov/Archives/edgar/data/949870/0001193125-16-468386-index.html</v>
      </c>
    </row>
    <row r="7041" spans="1:6" x14ac:dyDescent="0.2">
      <c r="A7041" t="s">
        <v>6424</v>
      </c>
      <c r="B7041" s="1">
        <v>1405495</v>
      </c>
      <c r="C7041" s="1">
        <v>6794</v>
      </c>
      <c r="D7041" s="2">
        <v>42418</v>
      </c>
      <c r="E7041" s="1" t="s">
        <v>18</v>
      </c>
      <c r="F7041" t="str">
        <f>HYPERLINK("http://www.sec.gov/Archives/edgar/data/1405495/0001405495-16-000047-index.html")</f>
        <v>http://www.sec.gov/Archives/edgar/data/1405495/0001405495-16-000047-index.html</v>
      </c>
    </row>
    <row r="7042" spans="1:6" x14ac:dyDescent="0.2">
      <c r="A7042" t="s">
        <v>6427</v>
      </c>
      <c r="B7042" s="1">
        <v>1425292</v>
      </c>
      <c r="C7042" s="1">
        <v>2870</v>
      </c>
      <c r="D7042" s="2">
        <v>42418</v>
      </c>
      <c r="E7042" s="1" t="s">
        <v>18</v>
      </c>
      <c r="F7042" t="str">
        <f>HYPERLINK("http://www.sec.gov/Archives/edgar/data/1425292/0001425292-16-000092-index.html")</f>
        <v>http://www.sec.gov/Archives/edgar/data/1425292/0001425292-16-000092-index.html</v>
      </c>
    </row>
    <row r="7043" spans="1:6" x14ac:dyDescent="0.2">
      <c r="A7043" t="s">
        <v>6428</v>
      </c>
      <c r="B7043" s="1">
        <v>1428205</v>
      </c>
      <c r="C7043" s="1">
        <v>6798</v>
      </c>
      <c r="D7043" s="2">
        <v>42418</v>
      </c>
      <c r="E7043" s="1" t="s">
        <v>18</v>
      </c>
      <c r="F7043" t="str">
        <f>HYPERLINK("http://www.sec.gov/Archives/edgar/data/1428205/0001428205-16-000300-index.html")</f>
        <v>http://www.sec.gov/Archives/edgar/data/1428205/0001428205-16-000300-index.html</v>
      </c>
    </row>
    <row r="7044" spans="1:6" x14ac:dyDescent="0.2">
      <c r="A7044" t="s">
        <v>6430</v>
      </c>
      <c r="B7044" s="1">
        <v>1441849</v>
      </c>
      <c r="C7044" s="1">
        <v>1221</v>
      </c>
      <c r="D7044" s="2">
        <v>42418</v>
      </c>
      <c r="E7044" s="1" t="s">
        <v>18</v>
      </c>
      <c r="F7044" t="str">
        <f>HYPERLINK("http://www.sec.gov/Archives/edgar/data/1441849/0001104659-16-097811-index.html")</f>
        <v>http://www.sec.gov/Archives/edgar/data/1441849/0001104659-16-097811-index.html</v>
      </c>
    </row>
    <row r="7045" spans="1:6" x14ac:dyDescent="0.2">
      <c r="A7045" t="s">
        <v>6431</v>
      </c>
      <c r="B7045" s="1">
        <v>1456772</v>
      </c>
      <c r="C7045" s="1">
        <v>6500</v>
      </c>
      <c r="D7045" s="2">
        <v>42418</v>
      </c>
      <c r="E7045" s="1" t="s">
        <v>18</v>
      </c>
      <c r="F7045" t="str">
        <f>HYPERLINK("http://www.sec.gov/Archives/edgar/data/1456772/0001558370-16-003282-index.html")</f>
        <v>http://www.sec.gov/Archives/edgar/data/1456772/0001558370-16-003282-index.html</v>
      </c>
    </row>
    <row r="7046" spans="1:6" x14ac:dyDescent="0.2">
      <c r="A7046" t="s">
        <v>6436</v>
      </c>
      <c r="B7046" s="1">
        <v>1526520</v>
      </c>
      <c r="C7046" s="1">
        <v>7370</v>
      </c>
      <c r="D7046" s="2">
        <v>42418</v>
      </c>
      <c r="E7046" s="1" t="s">
        <v>18</v>
      </c>
      <c r="F7046" t="str">
        <f>HYPERLINK("http://www.sec.gov/Archives/edgar/data/1526520/0001564590-16-012862-index.html")</f>
        <v>http://www.sec.gov/Archives/edgar/data/1526520/0001564590-16-012862-index.html</v>
      </c>
    </row>
    <row r="7047" spans="1:6" x14ac:dyDescent="0.2">
      <c r="A7047" t="s">
        <v>6479</v>
      </c>
      <c r="B7047" s="1">
        <v>1001902</v>
      </c>
      <c r="C7047" s="1">
        <v>3559</v>
      </c>
      <c r="D7047" s="2">
        <v>42417</v>
      </c>
      <c r="E7047" s="1" t="s">
        <v>18</v>
      </c>
      <c r="F7047" t="str">
        <f>HYPERLINK("http://www.sec.gov/Archives/edgar/data/1001902/0001193125-16-467095-index.html")</f>
        <v>http://www.sec.gov/Archives/edgar/data/1001902/0001193125-16-467095-index.html</v>
      </c>
    </row>
    <row r="7048" spans="1:6" x14ac:dyDescent="0.2">
      <c r="A7048" t="s">
        <v>6480</v>
      </c>
      <c r="B7048" s="1">
        <v>1031203</v>
      </c>
      <c r="C7048" s="1">
        <v>5500</v>
      </c>
      <c r="D7048" s="2">
        <v>42417</v>
      </c>
      <c r="E7048" s="1" t="s">
        <v>18</v>
      </c>
      <c r="F7048" t="str">
        <f>HYPERLINK("http://www.sec.gov/Archives/edgar/data/1031203/0001031203-16-000045-index.html")</f>
        <v>http://www.sec.gov/Archives/edgar/data/1031203/0001031203-16-000045-index.html</v>
      </c>
    </row>
    <row r="7049" spans="1:6" x14ac:dyDescent="0.2">
      <c r="A7049" t="s">
        <v>6481</v>
      </c>
      <c r="B7049" s="1">
        <v>103730</v>
      </c>
      <c r="C7049" s="1">
        <v>3670</v>
      </c>
      <c r="D7049" s="2">
        <v>42417</v>
      </c>
      <c r="E7049" s="1" t="s">
        <v>18</v>
      </c>
      <c r="F7049" t="str">
        <f>HYPERLINK("http://www.sec.gov/Archives/edgar/data/103730/0000103730-16-000061-index.html")</f>
        <v>http://www.sec.gov/Archives/edgar/data/103730/0000103730-16-000061-index.html</v>
      </c>
    </row>
    <row r="7050" spans="1:6" x14ac:dyDescent="0.2">
      <c r="A7050" t="s">
        <v>6482</v>
      </c>
      <c r="B7050" s="1">
        <v>1042776</v>
      </c>
      <c r="C7050" s="1">
        <v>6512</v>
      </c>
      <c r="D7050" s="2">
        <v>42417</v>
      </c>
      <c r="E7050" s="1" t="s">
        <v>18</v>
      </c>
      <c r="F7050" t="str">
        <f>HYPERLINK("http://www.sec.gov/Archives/edgar/data/1042776/0001042776-16-000200-index.html")</f>
        <v>http://www.sec.gov/Archives/edgar/data/1042776/0001042776-16-000200-index.html</v>
      </c>
    </row>
    <row r="7051" spans="1:6" x14ac:dyDescent="0.2">
      <c r="A7051" t="s">
        <v>6483</v>
      </c>
      <c r="B7051" s="1">
        <v>1054905</v>
      </c>
      <c r="C7051" s="1">
        <v>2800</v>
      </c>
      <c r="D7051" s="2">
        <v>42417</v>
      </c>
      <c r="E7051" s="1" t="s">
        <v>18</v>
      </c>
      <c r="F7051" t="str">
        <f>HYPERLINK("http://www.sec.gov/Archives/edgar/data/1054905/0001193125-16-466575-index.html")</f>
        <v>http://www.sec.gov/Archives/edgar/data/1054905/0001193125-16-466575-index.html</v>
      </c>
    </row>
    <row r="7052" spans="1:6" x14ac:dyDescent="0.2">
      <c r="A7052" t="s">
        <v>6484</v>
      </c>
      <c r="B7052" s="1">
        <v>1063344</v>
      </c>
      <c r="C7052" s="1">
        <v>6798</v>
      </c>
      <c r="D7052" s="2">
        <v>42417</v>
      </c>
      <c r="E7052" s="1" t="s">
        <v>18</v>
      </c>
      <c r="F7052" t="str">
        <f>HYPERLINK("http://www.sec.gov/Archives/edgar/data/1063344/0001063344-16-000102-index.html")</f>
        <v>http://www.sec.gov/Archives/edgar/data/1063344/0001063344-16-000102-index.html</v>
      </c>
    </row>
    <row r="7053" spans="1:6" x14ac:dyDescent="0.2">
      <c r="A7053" t="s">
        <v>6485</v>
      </c>
      <c r="B7053" s="1">
        <v>106535</v>
      </c>
      <c r="C7053" s="1">
        <v>6798</v>
      </c>
      <c r="D7053" s="2">
        <v>42417</v>
      </c>
      <c r="E7053" s="1" t="s">
        <v>18</v>
      </c>
      <c r="F7053" t="str">
        <f>HYPERLINK("http://www.sec.gov/Archives/edgar/data/106535/0000106535-16-000046-index.html")</f>
        <v>http://www.sec.gov/Archives/edgar/data/106535/0000106535-16-000046-index.html</v>
      </c>
    </row>
    <row r="7054" spans="1:6" x14ac:dyDescent="0.2">
      <c r="A7054" t="s">
        <v>6486</v>
      </c>
      <c r="B7054" s="1">
        <v>1075531</v>
      </c>
      <c r="C7054" s="1">
        <v>7389</v>
      </c>
      <c r="D7054" s="2">
        <v>42417</v>
      </c>
      <c r="E7054" s="1" t="s">
        <v>18</v>
      </c>
      <c r="F7054" t="str">
        <f>HYPERLINK("http://www.sec.gov/Archives/edgar/data/1075531/0001075531-16-000084-index.html")</f>
        <v>http://www.sec.gov/Archives/edgar/data/1075531/0001075531-16-000084-index.html</v>
      </c>
    </row>
    <row r="7055" spans="1:6" x14ac:dyDescent="0.2">
      <c r="A7055" t="s">
        <v>6487</v>
      </c>
      <c r="B7055" s="1">
        <v>1090012</v>
      </c>
      <c r="C7055" s="1">
        <v>1311</v>
      </c>
      <c r="D7055" s="2">
        <v>42417</v>
      </c>
      <c r="E7055" s="1" t="s">
        <v>18</v>
      </c>
      <c r="F7055" t="str">
        <f>HYPERLINK("http://www.sec.gov/Archives/edgar/data/1090012/0001193125-16-466687-index.html")</f>
        <v>http://www.sec.gov/Archives/edgar/data/1090012/0001193125-16-466687-index.html</v>
      </c>
    </row>
    <row r="7056" spans="1:6" x14ac:dyDescent="0.2">
      <c r="A7056" t="s">
        <v>6488</v>
      </c>
      <c r="B7056" s="1">
        <v>1108109</v>
      </c>
      <c r="C7056" s="1">
        <v>8062</v>
      </c>
      <c r="D7056" s="2">
        <v>42417</v>
      </c>
      <c r="E7056" s="1" t="s">
        <v>18</v>
      </c>
      <c r="F7056" t="str">
        <f>HYPERLINK("http://www.sec.gov/Archives/edgar/data/1108109/0001193125-16-467152-index.html")</f>
        <v>http://www.sec.gov/Archives/edgar/data/1108109/0001193125-16-467152-index.html</v>
      </c>
    </row>
    <row r="7057" spans="1:6" x14ac:dyDescent="0.2">
      <c r="A7057" t="s">
        <v>6489</v>
      </c>
      <c r="B7057" s="1">
        <v>1121788</v>
      </c>
      <c r="C7057" s="1">
        <v>3812</v>
      </c>
      <c r="D7057" s="2">
        <v>42417</v>
      </c>
      <c r="E7057" s="1" t="s">
        <v>18</v>
      </c>
      <c r="F7057" t="str">
        <f>HYPERLINK("http://www.sec.gov/Archives/edgar/data/1121788/0001615774-16-004243-index.html")</f>
        <v>http://www.sec.gov/Archives/edgar/data/1121788/0001615774-16-004243-index.html</v>
      </c>
    </row>
    <row r="7058" spans="1:6" x14ac:dyDescent="0.2">
      <c r="A7058" t="s">
        <v>6490</v>
      </c>
      <c r="B7058" s="1">
        <v>1158463</v>
      </c>
      <c r="C7058" s="1">
        <v>4512</v>
      </c>
      <c r="D7058" s="2">
        <v>42417</v>
      </c>
      <c r="E7058" s="1" t="s">
        <v>18</v>
      </c>
      <c r="F7058" t="str">
        <f>HYPERLINK("http://www.sec.gov/Archives/edgar/data/1158463/0001158463-16-000102-index.html")</f>
        <v>http://www.sec.gov/Archives/edgar/data/1158463/0001158463-16-000102-index.html</v>
      </c>
    </row>
    <row r="7059" spans="1:6" x14ac:dyDescent="0.2">
      <c r="A7059" t="s">
        <v>6491</v>
      </c>
      <c r="B7059" s="1">
        <v>1164727</v>
      </c>
      <c r="C7059" s="1">
        <v>1040</v>
      </c>
      <c r="D7059" s="2">
        <v>42417</v>
      </c>
      <c r="E7059" s="1" t="s">
        <v>18</v>
      </c>
      <c r="F7059" t="str">
        <f>HYPERLINK("http://www.sec.gov/Archives/edgar/data/1164727/0001558370-16-003258-index.html")</f>
        <v>http://www.sec.gov/Archives/edgar/data/1164727/0001558370-16-003258-index.html</v>
      </c>
    </row>
    <row r="7060" spans="1:6" x14ac:dyDescent="0.2">
      <c r="A7060" t="s">
        <v>6492</v>
      </c>
      <c r="B7060" s="1">
        <v>1173514</v>
      </c>
      <c r="C7060" s="1">
        <v>3537</v>
      </c>
      <c r="D7060" s="2">
        <v>42417</v>
      </c>
      <c r="E7060" s="1" t="s">
        <v>18</v>
      </c>
      <c r="F7060" t="str">
        <f>HYPERLINK("http://www.sec.gov/Archives/edgar/data/1173514/0001173514-16-000108-index.html")</f>
        <v>http://www.sec.gov/Archives/edgar/data/1173514/0001173514-16-000108-index.html</v>
      </c>
    </row>
    <row r="7061" spans="1:6" x14ac:dyDescent="0.2">
      <c r="A7061" t="s">
        <v>6493</v>
      </c>
      <c r="B7061" s="1">
        <v>1173911</v>
      </c>
      <c r="C7061" s="1">
        <v>1311</v>
      </c>
      <c r="D7061" s="2">
        <v>42417</v>
      </c>
      <c r="E7061" s="1" t="s">
        <v>18</v>
      </c>
      <c r="F7061" t="str">
        <f>HYPERLINK("http://www.sec.gov/Archives/edgar/data/1173911/0001144204-16-083017-index.html")</f>
        <v>http://www.sec.gov/Archives/edgar/data/1173911/0001144204-16-083017-index.html</v>
      </c>
    </row>
    <row r="7062" spans="1:6" x14ac:dyDescent="0.2">
      <c r="A7062" t="s">
        <v>6494</v>
      </c>
      <c r="B7062" s="1">
        <v>1179060</v>
      </c>
      <c r="C7062" s="1">
        <v>4922</v>
      </c>
      <c r="D7062" s="2">
        <v>42417</v>
      </c>
      <c r="E7062" s="1" t="s">
        <v>18</v>
      </c>
      <c r="F7062" t="str">
        <f>HYPERLINK("http://www.sec.gov/Archives/edgar/data/1179060/0001179060-16-000036-index.html")</f>
        <v>http://www.sec.gov/Archives/edgar/data/1179060/0001179060-16-000036-index.html</v>
      </c>
    </row>
    <row r="7063" spans="1:6" x14ac:dyDescent="0.2">
      <c r="A7063" t="s">
        <v>6495</v>
      </c>
      <c r="B7063" s="1">
        <v>1222840</v>
      </c>
      <c r="C7063" s="1">
        <v>6798</v>
      </c>
      <c r="D7063" s="2">
        <v>42417</v>
      </c>
      <c r="E7063" s="1" t="s">
        <v>18</v>
      </c>
      <c r="F7063" t="str">
        <f>HYPERLINK("http://www.sec.gov/Archives/edgar/data/1222840/0001222840-16-000032-index.html")</f>
        <v>http://www.sec.gov/Archives/edgar/data/1222840/0001222840-16-000032-index.html</v>
      </c>
    </row>
    <row r="7064" spans="1:6" x14ac:dyDescent="0.2">
      <c r="A7064" t="s">
        <v>6496</v>
      </c>
      <c r="B7064" s="1">
        <v>1234006</v>
      </c>
      <c r="C7064" s="1">
        <v>6519</v>
      </c>
      <c r="D7064" s="2">
        <v>42417</v>
      </c>
      <c r="E7064" s="1" t="s">
        <v>18</v>
      </c>
      <c r="F7064" t="str">
        <f>HYPERLINK("http://www.sec.gov/Archives/edgar/data/1234006/0001193125-16-467081-index.html")</f>
        <v>http://www.sec.gov/Archives/edgar/data/1234006/0001193125-16-467081-index.html</v>
      </c>
    </row>
    <row r="7065" spans="1:6" x14ac:dyDescent="0.2">
      <c r="A7065" t="s">
        <v>6497</v>
      </c>
      <c r="B7065" s="1">
        <v>1283699</v>
      </c>
      <c r="C7065" s="1">
        <v>4812</v>
      </c>
      <c r="D7065" s="2">
        <v>42417</v>
      </c>
      <c r="E7065" s="1" t="s">
        <v>18</v>
      </c>
      <c r="F7065" t="str">
        <f>HYPERLINK("http://www.sec.gov/Archives/edgar/data/1283699/0001283699-16-000073-index.html")</f>
        <v>http://www.sec.gov/Archives/edgar/data/1283699/0001283699-16-000073-index.html</v>
      </c>
    </row>
    <row r="7066" spans="1:6" x14ac:dyDescent="0.2">
      <c r="A7066" t="s">
        <v>1552</v>
      </c>
      <c r="B7066" s="1">
        <v>1288469</v>
      </c>
      <c r="C7066" s="1">
        <v>3674</v>
      </c>
      <c r="D7066" s="2">
        <v>42417</v>
      </c>
      <c r="E7066" s="1" t="s">
        <v>18</v>
      </c>
      <c r="F7066" t="str">
        <f>HYPERLINK("http://www.sec.gov/Archives/edgar/data/1288469/0001288469-16-000053-index.html")</f>
        <v>http://www.sec.gov/Archives/edgar/data/1288469/0001288469-16-000053-index.html</v>
      </c>
    </row>
    <row r="7067" spans="1:6" x14ac:dyDescent="0.2">
      <c r="A7067" t="s">
        <v>994</v>
      </c>
      <c r="B7067" s="1">
        <v>1308569</v>
      </c>
      <c r="C7067" s="1">
        <v>8742</v>
      </c>
      <c r="D7067" s="2">
        <v>42417</v>
      </c>
      <c r="E7067" s="1" t="s">
        <v>42</v>
      </c>
      <c r="F7067" t="str">
        <f>HYPERLINK("http://www.sec.gov/Archives/edgar/data/1308569/0001553350-16-001583-index.html")</f>
        <v>http://www.sec.gov/Archives/edgar/data/1308569/0001553350-16-001583-index.html</v>
      </c>
    </row>
    <row r="7068" spans="1:6" x14ac:dyDescent="0.2">
      <c r="A7068" t="s">
        <v>6498</v>
      </c>
      <c r="B7068" s="1">
        <v>1324410</v>
      </c>
      <c r="C7068" s="1">
        <v>6022</v>
      </c>
      <c r="D7068" s="2">
        <v>42417</v>
      </c>
      <c r="E7068" s="1" t="s">
        <v>18</v>
      </c>
      <c r="F7068" t="str">
        <f>HYPERLINK("http://www.sec.gov/Archives/edgar/data/1324410/0001324410-16-000071-index.html")</f>
        <v>http://www.sec.gov/Archives/edgar/data/1324410/0001324410-16-000071-index.html</v>
      </c>
    </row>
    <row r="7069" spans="1:6" x14ac:dyDescent="0.2">
      <c r="A7069" t="s">
        <v>6499</v>
      </c>
      <c r="B7069" s="1">
        <v>1371285</v>
      </c>
      <c r="C7069" s="1">
        <v>6324</v>
      </c>
      <c r="D7069" s="2">
        <v>42417</v>
      </c>
      <c r="E7069" s="1" t="s">
        <v>18</v>
      </c>
      <c r="F7069" t="str">
        <f>HYPERLINK("http://www.sec.gov/Archives/edgar/data/1371285/0001371285-16-000128-index.html")</f>
        <v>http://www.sec.gov/Archives/edgar/data/1371285/0001371285-16-000128-index.html</v>
      </c>
    </row>
    <row r="7070" spans="1:6" x14ac:dyDescent="0.2">
      <c r="A7070" t="s">
        <v>6500</v>
      </c>
      <c r="B7070" s="1">
        <v>1413329</v>
      </c>
      <c r="C7070" s="1">
        <v>2111</v>
      </c>
      <c r="D7070" s="2">
        <v>42417</v>
      </c>
      <c r="E7070" s="1" t="s">
        <v>18</v>
      </c>
      <c r="F7070" t="str">
        <f>HYPERLINK("http://www.sec.gov/Archives/edgar/data/1413329/0001413329-16-000076-index.html")</f>
        <v>http://www.sec.gov/Archives/edgar/data/1413329/0001413329-16-000076-index.html</v>
      </c>
    </row>
    <row r="7071" spans="1:6" x14ac:dyDescent="0.2">
      <c r="A7071" t="s">
        <v>6501</v>
      </c>
      <c r="B7071" s="1">
        <v>1434588</v>
      </c>
      <c r="C7071" s="1">
        <v>8200</v>
      </c>
      <c r="D7071" s="2">
        <v>42417</v>
      </c>
      <c r="E7071" s="1" t="s">
        <v>18</v>
      </c>
      <c r="F7071" t="str">
        <f>HYPERLINK("http://www.sec.gov/Archives/edgar/data/1434588/0001193125-16-467102-index.html")</f>
        <v>http://www.sec.gov/Archives/edgar/data/1434588/0001193125-16-467102-index.html</v>
      </c>
    </row>
    <row r="7072" spans="1:6" x14ac:dyDescent="0.2">
      <c r="A7072" t="s">
        <v>6502</v>
      </c>
      <c r="B7072" s="1">
        <v>1452575</v>
      </c>
      <c r="C7072" s="1">
        <v>2000</v>
      </c>
      <c r="D7072" s="2">
        <v>42417</v>
      </c>
      <c r="E7072" s="1" t="s">
        <v>18</v>
      </c>
      <c r="F7072" t="str">
        <f>HYPERLINK("http://www.sec.gov/Archives/edgar/data/1452575/0001452575-16-000063-index.html")</f>
        <v>http://www.sec.gov/Archives/edgar/data/1452575/0001452575-16-000063-index.html</v>
      </c>
    </row>
    <row r="7073" spans="1:6" x14ac:dyDescent="0.2">
      <c r="A7073" t="s">
        <v>6503</v>
      </c>
      <c r="B7073" s="1">
        <v>1457612</v>
      </c>
      <c r="C7073" s="1">
        <v>2836</v>
      </c>
      <c r="D7073" s="2">
        <v>42417</v>
      </c>
      <c r="E7073" s="1" t="s">
        <v>18</v>
      </c>
      <c r="F7073" t="str">
        <f>HYPERLINK("http://www.sec.gov/Archives/edgar/data/1457612/0001457612-16-000048-index.html")</f>
        <v>http://www.sec.gov/Archives/edgar/data/1457612/0001457612-16-000048-index.html</v>
      </c>
    </row>
    <row r="7074" spans="1:6" x14ac:dyDescent="0.2">
      <c r="A7074" t="s">
        <v>745</v>
      </c>
      <c r="B7074" s="1">
        <v>1487843</v>
      </c>
      <c r="C7074" s="1">
        <v>6500</v>
      </c>
      <c r="D7074" s="2">
        <v>42417</v>
      </c>
      <c r="E7074" s="1" t="s">
        <v>42</v>
      </c>
      <c r="F7074" t="str">
        <f>HYPERLINK("http://www.sec.gov/Archives/edgar/data/1487843/0001213900-16-011032-index.html")</f>
        <v>http://www.sec.gov/Archives/edgar/data/1487843/0001213900-16-011032-index.html</v>
      </c>
    </row>
    <row r="7075" spans="1:6" x14ac:dyDescent="0.2">
      <c r="A7075" t="s">
        <v>419</v>
      </c>
      <c r="B7075" s="1">
        <v>1491487</v>
      </c>
      <c r="C7075" s="1">
        <v>5990</v>
      </c>
      <c r="D7075" s="2">
        <v>42417</v>
      </c>
      <c r="E7075" s="1" t="s">
        <v>18</v>
      </c>
      <c r="F7075" t="str">
        <f>HYPERLINK("http://www.sec.gov/Archives/edgar/data/1491487/0001144204-16-083057-index.html")</f>
        <v>http://www.sec.gov/Archives/edgar/data/1491487/0001144204-16-083057-index.html</v>
      </c>
    </row>
    <row r="7076" spans="1:6" x14ac:dyDescent="0.2">
      <c r="A7076" t="s">
        <v>6504</v>
      </c>
      <c r="B7076" s="1">
        <v>14930</v>
      </c>
      <c r="C7076" s="1">
        <v>3510</v>
      </c>
      <c r="D7076" s="2">
        <v>42417</v>
      </c>
      <c r="E7076" s="1" t="s">
        <v>18</v>
      </c>
      <c r="F7076" t="str">
        <f>HYPERLINK("http://www.sec.gov/Archives/edgar/data/14930/0001628280-16-011325-index.html")</f>
        <v>http://www.sec.gov/Archives/edgar/data/14930/0001628280-16-011325-index.html</v>
      </c>
    </row>
    <row r="7077" spans="1:6" x14ac:dyDescent="0.2">
      <c r="A7077" t="s">
        <v>6505</v>
      </c>
      <c r="B7077" s="1">
        <v>1498710</v>
      </c>
      <c r="C7077" s="1">
        <v>4512</v>
      </c>
      <c r="D7077" s="2">
        <v>42417</v>
      </c>
      <c r="E7077" s="1" t="s">
        <v>18</v>
      </c>
      <c r="F7077" t="str">
        <f>HYPERLINK("http://www.sec.gov/Archives/edgar/data/1498710/0001498710-16-000205-index.html")</f>
        <v>http://www.sec.gov/Archives/edgar/data/1498710/0001498710-16-000205-index.html</v>
      </c>
    </row>
    <row r="7078" spans="1:6" x14ac:dyDescent="0.2">
      <c r="A7078" t="s">
        <v>6506</v>
      </c>
      <c r="B7078" s="1">
        <v>1528129</v>
      </c>
      <c r="C7078" s="1">
        <v>1311</v>
      </c>
      <c r="D7078" s="2">
        <v>42417</v>
      </c>
      <c r="E7078" s="1" t="s">
        <v>18</v>
      </c>
      <c r="F7078" t="str">
        <f>HYPERLINK("http://www.sec.gov/Archives/edgar/data/1528129/0001528129-16-000186-index.html")</f>
        <v>http://www.sec.gov/Archives/edgar/data/1528129/0001528129-16-000186-index.html</v>
      </c>
    </row>
    <row r="7079" spans="1:6" x14ac:dyDescent="0.2">
      <c r="A7079" t="s">
        <v>6507</v>
      </c>
      <c r="B7079" s="1">
        <v>1532930</v>
      </c>
      <c r="C7079" s="1">
        <v>1389</v>
      </c>
      <c r="D7079" s="2">
        <v>42417</v>
      </c>
      <c r="E7079" s="1" t="s">
        <v>18</v>
      </c>
      <c r="F7079" t="str">
        <f>HYPERLINK("http://www.sec.gov/Archives/edgar/data/1532930/0001532930-16-000124-index.html")</f>
        <v>http://www.sec.gov/Archives/edgar/data/1532930/0001532930-16-000124-index.html</v>
      </c>
    </row>
    <row r="7080" spans="1:6" x14ac:dyDescent="0.2">
      <c r="A7080" t="s">
        <v>6508</v>
      </c>
      <c r="B7080" s="1">
        <v>1537048</v>
      </c>
      <c r="C7080" s="1">
        <v>2390</v>
      </c>
      <c r="D7080" s="2">
        <v>42417</v>
      </c>
      <c r="E7080" s="1" t="s">
        <v>18</v>
      </c>
      <c r="F7080" t="str">
        <f>HYPERLINK("http://www.sec.gov/Archives/edgar/data/1537048/0001144204-16-082949-index.html")</f>
        <v>http://www.sec.gov/Archives/edgar/data/1537048/0001144204-16-082949-index.html</v>
      </c>
    </row>
    <row r="7081" spans="1:6" x14ac:dyDescent="0.2">
      <c r="A7081" t="s">
        <v>6509</v>
      </c>
      <c r="B7081" s="1">
        <v>1569134</v>
      </c>
      <c r="C7081" s="1">
        <v>4922</v>
      </c>
      <c r="D7081" s="2">
        <v>42417</v>
      </c>
      <c r="E7081" s="1" t="s">
        <v>18</v>
      </c>
      <c r="F7081" t="str">
        <f>HYPERLINK("http://www.sec.gov/Archives/edgar/data/1569134/0001569134-16-000047-index.html")</f>
        <v>http://www.sec.gov/Archives/edgar/data/1569134/0001569134-16-000047-index.html</v>
      </c>
    </row>
    <row r="7082" spans="1:6" x14ac:dyDescent="0.2">
      <c r="A7082" t="s">
        <v>6510</v>
      </c>
      <c r="B7082" s="1">
        <v>1578685</v>
      </c>
      <c r="C7082" s="1">
        <v>4923</v>
      </c>
      <c r="D7082" s="2">
        <v>42417</v>
      </c>
      <c r="E7082" s="1" t="s">
        <v>18</v>
      </c>
      <c r="F7082" t="str">
        <f>HYPERLINK("http://www.sec.gov/Archives/edgar/data/1578685/0001144204-16-083002-index.html")</f>
        <v>http://www.sec.gov/Archives/edgar/data/1578685/0001144204-16-083002-index.html</v>
      </c>
    </row>
    <row r="7083" spans="1:6" x14ac:dyDescent="0.2">
      <c r="A7083" t="s">
        <v>1838</v>
      </c>
      <c r="B7083" s="1">
        <v>1591165</v>
      </c>
      <c r="C7083" s="1">
        <v>3841</v>
      </c>
      <c r="D7083" s="2">
        <v>42417</v>
      </c>
      <c r="E7083" s="1" t="s">
        <v>42</v>
      </c>
      <c r="F7083" t="str">
        <f>HYPERLINK("http://www.sec.gov/Archives/edgar/data/1591165/0001415889-16-004814-index.html")</f>
        <v>http://www.sec.gov/Archives/edgar/data/1591165/0001415889-16-004814-index.html</v>
      </c>
    </row>
    <row r="7084" spans="1:6" x14ac:dyDescent="0.2">
      <c r="A7084" t="s">
        <v>6511</v>
      </c>
      <c r="B7084" s="1">
        <v>1591763</v>
      </c>
      <c r="C7084" s="1">
        <v>4922</v>
      </c>
      <c r="D7084" s="2">
        <v>42417</v>
      </c>
      <c r="E7084" s="1" t="s">
        <v>18</v>
      </c>
      <c r="F7084" t="str">
        <f>HYPERLINK("http://www.sec.gov/Archives/edgar/data/1591763/0001591763-16-000128-index.html")</f>
        <v>http://www.sec.gov/Archives/edgar/data/1591763/0001591763-16-000128-index.html</v>
      </c>
    </row>
    <row r="7085" spans="1:6" x14ac:dyDescent="0.2">
      <c r="A7085" t="s">
        <v>6512</v>
      </c>
      <c r="B7085" s="1">
        <v>1592000</v>
      </c>
      <c r="C7085" s="1">
        <v>4922</v>
      </c>
      <c r="D7085" s="2">
        <v>42417</v>
      </c>
      <c r="E7085" s="1" t="s">
        <v>18</v>
      </c>
      <c r="F7085" t="str">
        <f>HYPERLINK("http://www.sec.gov/Archives/edgar/data/1592000/0001592000-16-000022-index.html")</f>
        <v>http://www.sec.gov/Archives/edgar/data/1592000/0001592000-16-000022-index.html</v>
      </c>
    </row>
    <row r="7086" spans="1:6" x14ac:dyDescent="0.2">
      <c r="A7086" t="s">
        <v>6513</v>
      </c>
      <c r="B7086" s="1">
        <v>1633651</v>
      </c>
      <c r="C7086" s="1">
        <v>4922</v>
      </c>
      <c r="D7086" s="2">
        <v>42417</v>
      </c>
      <c r="E7086" s="1" t="s">
        <v>18</v>
      </c>
      <c r="F7086" t="str">
        <f>HYPERLINK("http://www.sec.gov/Archives/edgar/data/1633651/0001633651-16-000031-index.html")</f>
        <v>http://www.sec.gov/Archives/edgar/data/1633651/0001633651-16-000031-index.html</v>
      </c>
    </row>
    <row r="7087" spans="1:6" x14ac:dyDescent="0.2">
      <c r="A7087" t="s">
        <v>6514</v>
      </c>
      <c r="B7087" s="1">
        <v>21175</v>
      </c>
      <c r="C7087" s="1">
        <v>6331</v>
      </c>
      <c r="D7087" s="2">
        <v>42417</v>
      </c>
      <c r="E7087" s="1" t="s">
        <v>18</v>
      </c>
      <c r="F7087" t="str">
        <f>HYPERLINK("http://www.sec.gov/Archives/edgar/data/21175/0000021175-16-000135-index.html")</f>
        <v>http://www.sec.gov/Archives/edgar/data/21175/0000021175-16-000135-index.html</v>
      </c>
    </row>
    <row r="7088" spans="1:6" x14ac:dyDescent="0.2">
      <c r="A7088" t="s">
        <v>6515</v>
      </c>
      <c r="B7088" s="1">
        <v>315213</v>
      </c>
      <c r="C7088" s="1">
        <v>7363</v>
      </c>
      <c r="D7088" s="2">
        <v>42417</v>
      </c>
      <c r="E7088" s="1" t="s">
        <v>18</v>
      </c>
      <c r="F7088" t="str">
        <f>HYPERLINK("http://www.sec.gov/Archives/edgar/data/315213/0001628280-16-011322-index.html")</f>
        <v>http://www.sec.gov/Archives/edgar/data/315213/0001628280-16-011322-index.html</v>
      </c>
    </row>
    <row r="7089" spans="1:6" x14ac:dyDescent="0.2">
      <c r="A7089" t="s">
        <v>6516</v>
      </c>
      <c r="B7089" s="1">
        <v>319815</v>
      </c>
      <c r="C7089" s="1">
        <v>3690</v>
      </c>
      <c r="D7089" s="2">
        <v>42417</v>
      </c>
      <c r="E7089" s="1" t="s">
        <v>18</v>
      </c>
      <c r="F7089" t="str">
        <f>HYPERLINK("http://www.sec.gov/Archives/edgar/data/319815/0000319815-16-000099-index.html")</f>
        <v>http://www.sec.gov/Archives/edgar/data/319815/0000319815-16-000099-index.html</v>
      </c>
    </row>
    <row r="7090" spans="1:6" x14ac:dyDescent="0.2">
      <c r="A7090" t="s">
        <v>6517</v>
      </c>
      <c r="B7090" s="1">
        <v>320575</v>
      </c>
      <c r="C7090" s="1">
        <v>1381</v>
      </c>
      <c r="D7090" s="2">
        <v>42417</v>
      </c>
      <c r="E7090" s="1" t="s">
        <v>18</v>
      </c>
      <c r="F7090" t="str">
        <f>HYPERLINK("http://www.sec.gov/Archives/edgar/data/320575/0000320575-16-000097-index.html")</f>
        <v>http://www.sec.gov/Archives/edgar/data/320575/0000320575-16-000097-index.html</v>
      </c>
    </row>
    <row r="7091" spans="1:6" x14ac:dyDescent="0.2">
      <c r="A7091" t="s">
        <v>6518</v>
      </c>
      <c r="B7091" s="1">
        <v>49196</v>
      </c>
      <c r="C7091" s="1">
        <v>6021</v>
      </c>
      <c r="D7091" s="2">
        <v>42417</v>
      </c>
      <c r="E7091" s="1" t="s">
        <v>18</v>
      </c>
      <c r="F7091" t="str">
        <f>HYPERLINK("http://www.sec.gov/Archives/edgar/data/49196/0000049196-16-000032-index.html")</f>
        <v>http://www.sec.gov/Archives/edgar/data/49196/0000049196-16-000032-index.html</v>
      </c>
    </row>
    <row r="7092" spans="1:6" x14ac:dyDescent="0.2">
      <c r="A7092" t="s">
        <v>6519</v>
      </c>
      <c r="B7092" s="1">
        <v>49600</v>
      </c>
      <c r="C7092" s="1">
        <v>6798</v>
      </c>
      <c r="D7092" s="2">
        <v>42417</v>
      </c>
      <c r="E7092" s="1" t="s">
        <v>18</v>
      </c>
      <c r="F7092" t="str">
        <f>HYPERLINK("http://www.sec.gov/Archives/edgar/data/49600/0000049600-16-000047-index.html")</f>
        <v>http://www.sec.gov/Archives/edgar/data/49600/0000049600-16-000047-index.html</v>
      </c>
    </row>
    <row r="7093" spans="1:6" x14ac:dyDescent="0.2">
      <c r="A7093" t="s">
        <v>6520</v>
      </c>
      <c r="B7093" s="1">
        <v>72207</v>
      </c>
      <c r="C7093" s="1">
        <v>1311</v>
      </c>
      <c r="D7093" s="2">
        <v>42417</v>
      </c>
      <c r="E7093" s="1" t="s">
        <v>18</v>
      </c>
      <c r="F7093" t="str">
        <f>HYPERLINK("http://www.sec.gov/Archives/edgar/data/72207/0000072207-16-000070-index.html")</f>
        <v>http://www.sec.gov/Archives/edgar/data/72207/0000072207-16-000070-index.html</v>
      </c>
    </row>
    <row r="7094" spans="1:6" x14ac:dyDescent="0.2">
      <c r="A7094" t="s">
        <v>6521</v>
      </c>
      <c r="B7094" s="1">
        <v>773910</v>
      </c>
      <c r="C7094" s="1">
        <v>1311</v>
      </c>
      <c r="D7094" s="2">
        <v>42417</v>
      </c>
      <c r="E7094" s="1" t="s">
        <v>18</v>
      </c>
      <c r="F7094" t="str">
        <f>HYPERLINK("http://www.sec.gov/Archives/edgar/data/773910/0000773910-16-000073-index.html")</f>
        <v>http://www.sec.gov/Archives/edgar/data/773910/0000773910-16-000073-index.html</v>
      </c>
    </row>
    <row r="7095" spans="1:6" x14ac:dyDescent="0.2">
      <c r="A7095" t="s">
        <v>6522</v>
      </c>
      <c r="B7095" s="1">
        <v>804753</v>
      </c>
      <c r="C7095" s="1">
        <v>7373</v>
      </c>
      <c r="D7095" s="2">
        <v>42417</v>
      </c>
      <c r="E7095" s="1" t="s">
        <v>18</v>
      </c>
      <c r="F7095" t="str">
        <f>HYPERLINK("http://www.sec.gov/Archives/edgar/data/804753/0000804753-16-000061-index.html")</f>
        <v>http://www.sec.gov/Archives/edgar/data/804753/0000804753-16-000061-index.html</v>
      </c>
    </row>
    <row r="7096" spans="1:6" x14ac:dyDescent="0.2">
      <c r="A7096" t="s">
        <v>6369</v>
      </c>
      <c r="B7096" s="1">
        <v>808362</v>
      </c>
      <c r="C7096" s="1">
        <v>3533</v>
      </c>
      <c r="D7096" s="2">
        <v>42417</v>
      </c>
      <c r="E7096" s="1" t="s">
        <v>18</v>
      </c>
      <c r="F7096" t="str">
        <f>HYPERLINK("http://www.sec.gov/Archives/edgar/data/808362/0000808362-16-000053-index.html")</f>
        <v>http://www.sec.gov/Archives/edgar/data/808362/0000808362-16-000053-index.html</v>
      </c>
    </row>
    <row r="7097" spans="1:6" x14ac:dyDescent="0.2">
      <c r="A7097" t="s">
        <v>6523</v>
      </c>
      <c r="B7097" s="1">
        <v>817473</v>
      </c>
      <c r="C7097" s="1">
        <v>8071</v>
      </c>
      <c r="D7097" s="2">
        <v>42417</v>
      </c>
      <c r="E7097" s="1" t="s">
        <v>18</v>
      </c>
      <c r="F7097" t="str">
        <f>HYPERLINK("http://www.sec.gov/Archives/edgar/data/817473/0000817473-16-000068-index.html")</f>
        <v>http://www.sec.gov/Archives/edgar/data/817473/0000817473-16-000068-index.html</v>
      </c>
    </row>
    <row r="7098" spans="1:6" x14ac:dyDescent="0.2">
      <c r="A7098" t="s">
        <v>6524</v>
      </c>
      <c r="B7098" s="1">
        <v>833079</v>
      </c>
      <c r="C7098" s="1">
        <v>1531</v>
      </c>
      <c r="D7098" s="2">
        <v>42417</v>
      </c>
      <c r="E7098" s="1" t="s">
        <v>18</v>
      </c>
      <c r="F7098" t="str">
        <f>HYPERLINK("http://www.sec.gov/Archives/edgar/data/833079/0000833079-16-000119-index.html")</f>
        <v>http://www.sec.gov/Archives/edgar/data/833079/0000833079-16-000119-index.html</v>
      </c>
    </row>
    <row r="7099" spans="1:6" x14ac:dyDescent="0.2">
      <c r="A7099" t="s">
        <v>6525</v>
      </c>
      <c r="B7099" s="1">
        <v>840489</v>
      </c>
      <c r="C7099" s="1">
        <v>5900</v>
      </c>
      <c r="D7099" s="2">
        <v>42417</v>
      </c>
      <c r="E7099" s="1" t="s">
        <v>18</v>
      </c>
      <c r="F7099" t="str">
        <f>HYPERLINK("http://www.sec.gov/Archives/edgar/data/840489/0000840489-16-000076-index.html")</f>
        <v>http://www.sec.gov/Archives/edgar/data/840489/0000840489-16-000076-index.html</v>
      </c>
    </row>
    <row r="7100" spans="1:6" x14ac:dyDescent="0.2">
      <c r="A7100" t="s">
        <v>6526</v>
      </c>
      <c r="B7100" s="1">
        <v>874716</v>
      </c>
      <c r="C7100" s="1">
        <v>2835</v>
      </c>
      <c r="D7100" s="2">
        <v>42417</v>
      </c>
      <c r="E7100" s="1" t="s">
        <v>18</v>
      </c>
      <c r="F7100" t="str">
        <f>HYPERLINK("http://www.sec.gov/Archives/edgar/data/874716/0000874716-16-000020-index.html")</f>
        <v>http://www.sec.gov/Archives/edgar/data/874716/0000874716-16-000020-index.html</v>
      </c>
    </row>
    <row r="7101" spans="1:6" x14ac:dyDescent="0.2">
      <c r="A7101" t="s">
        <v>6527</v>
      </c>
      <c r="B7101" s="1">
        <v>880285</v>
      </c>
      <c r="C7101" s="1">
        <v>4610</v>
      </c>
      <c r="D7101" s="2">
        <v>42417</v>
      </c>
      <c r="E7101" s="1" t="s">
        <v>18</v>
      </c>
      <c r="F7101" t="str">
        <f>HYPERLINK("http://www.sec.gov/Archives/edgar/data/880285/0001144204-16-083008-index.html")</f>
        <v>http://www.sec.gov/Archives/edgar/data/880285/0001144204-16-083008-index.html</v>
      </c>
    </row>
    <row r="7102" spans="1:6" x14ac:dyDescent="0.2">
      <c r="A7102" t="s">
        <v>6528</v>
      </c>
      <c r="B7102" s="1">
        <v>891293</v>
      </c>
      <c r="C7102" s="1">
        <v>2834</v>
      </c>
      <c r="D7102" s="2">
        <v>42417</v>
      </c>
      <c r="E7102" s="1" t="s">
        <v>18</v>
      </c>
      <c r="F7102" t="str">
        <f>HYPERLINK("http://www.sec.gov/Archives/edgar/data/891293/0000891293-16-000105-index.html")</f>
        <v>http://www.sec.gov/Archives/edgar/data/891293/0000891293-16-000105-index.html</v>
      </c>
    </row>
    <row r="7103" spans="1:6" x14ac:dyDescent="0.2">
      <c r="A7103" t="s">
        <v>6529</v>
      </c>
      <c r="B7103" s="1">
        <v>906163</v>
      </c>
      <c r="C7103" s="1">
        <v>1531</v>
      </c>
      <c r="D7103" s="2">
        <v>42417</v>
      </c>
      <c r="E7103" s="1" t="s">
        <v>18</v>
      </c>
      <c r="F7103" t="str">
        <f>HYPERLINK("http://www.sec.gov/Archives/edgar/data/906163/0001564590-16-012809-index.html")</f>
        <v>http://www.sec.gov/Archives/edgar/data/906163/0001564590-16-012809-index.html</v>
      </c>
    </row>
    <row r="7104" spans="1:6" x14ac:dyDescent="0.2">
      <c r="A7104" t="s">
        <v>6530</v>
      </c>
      <c r="B7104" s="1">
        <v>91142</v>
      </c>
      <c r="C7104" s="1">
        <v>3630</v>
      </c>
      <c r="D7104" s="2">
        <v>42417</v>
      </c>
      <c r="E7104" s="1" t="s">
        <v>18</v>
      </c>
      <c r="F7104" t="str">
        <f>HYPERLINK("http://www.sec.gov/Archives/edgar/data/91142/0001193125-16-467088-index.html")</f>
        <v>http://www.sec.gov/Archives/edgar/data/91142/0001193125-16-467088-index.html</v>
      </c>
    </row>
    <row r="7105" spans="1:6" x14ac:dyDescent="0.2">
      <c r="A7105" t="s">
        <v>6531</v>
      </c>
      <c r="B7105" s="1">
        <v>922521</v>
      </c>
      <c r="C7105" s="1">
        <v>7372</v>
      </c>
      <c r="D7105" s="2">
        <v>42417</v>
      </c>
      <c r="E7105" s="1" t="s">
        <v>18</v>
      </c>
      <c r="F7105" t="str">
        <f>HYPERLINK("http://www.sec.gov/Archives/edgar/data/922521/0000922521-16-000034-index.html")</f>
        <v>http://www.sec.gov/Archives/edgar/data/922521/0000922521-16-000034-index.html</v>
      </c>
    </row>
    <row r="7106" spans="1:6" x14ac:dyDescent="0.2">
      <c r="A7106" t="s">
        <v>994</v>
      </c>
      <c r="B7106" s="1">
        <v>1308569</v>
      </c>
      <c r="C7106" s="1">
        <v>8742</v>
      </c>
      <c r="D7106" s="2">
        <v>42417</v>
      </c>
      <c r="E7106" s="1" t="s">
        <v>42</v>
      </c>
      <c r="F7106" t="str">
        <f>HYPERLINK("http://www.sec.gov/Archives/edgar/data/1308569/0001553350-16-001583-index.html")</f>
        <v>http://www.sec.gov/Archives/edgar/data/1308569/0001553350-16-001583-index.html</v>
      </c>
    </row>
    <row r="7107" spans="1:6" x14ac:dyDescent="0.2">
      <c r="A7107" t="s">
        <v>6532</v>
      </c>
      <c r="B7107" s="1">
        <v>1019737</v>
      </c>
      <c r="C7107" s="1">
        <v>8742</v>
      </c>
      <c r="D7107" s="2">
        <v>42416</v>
      </c>
      <c r="E7107" s="1" t="s">
        <v>18</v>
      </c>
      <c r="F7107" t="str">
        <f>HYPERLINK("http://www.sec.gov/Archives/edgar/data/1019737/0001193125-16-463666-index.html")</f>
        <v>http://www.sec.gov/Archives/edgar/data/1019737/0001193125-16-463666-index.html</v>
      </c>
    </row>
    <row r="7108" spans="1:6" x14ac:dyDescent="0.2">
      <c r="A7108" t="s">
        <v>6533</v>
      </c>
      <c r="B7108" s="1">
        <v>1025953</v>
      </c>
      <c r="C7108" s="1">
        <v>6531</v>
      </c>
      <c r="D7108" s="2">
        <v>42416</v>
      </c>
      <c r="E7108" s="1" t="s">
        <v>18</v>
      </c>
      <c r="F7108" t="str">
        <f>HYPERLINK("http://www.sec.gov/Archives/edgar/data/1025953/0001025953-16-000180-index.html")</f>
        <v>http://www.sec.gov/Archives/edgar/data/1025953/0001025953-16-000180-index.html</v>
      </c>
    </row>
    <row r="7109" spans="1:6" x14ac:dyDescent="0.2">
      <c r="A7109" t="s">
        <v>6534</v>
      </c>
      <c r="B7109" s="1">
        <v>1031296</v>
      </c>
      <c r="C7109" s="1">
        <v>4911</v>
      </c>
      <c r="D7109" s="2">
        <v>42416</v>
      </c>
      <c r="E7109" s="1" t="s">
        <v>18</v>
      </c>
      <c r="F7109" t="str">
        <f>HYPERLINK("http://www.sec.gov/Archives/edgar/data/1031296/0001031296-16-000071-index.html")</f>
        <v>http://www.sec.gov/Archives/edgar/data/1031296/0001031296-16-000071-index.html</v>
      </c>
    </row>
    <row r="7110" spans="1:6" x14ac:dyDescent="0.2">
      <c r="A7110" t="s">
        <v>6535</v>
      </c>
      <c r="B7110" s="1">
        <v>1041061</v>
      </c>
      <c r="C7110" s="1">
        <v>5812</v>
      </c>
      <c r="D7110" s="2">
        <v>42416</v>
      </c>
      <c r="E7110" s="1" t="s">
        <v>18</v>
      </c>
      <c r="F7110" t="str">
        <f>HYPERLINK("http://www.sec.gov/Archives/edgar/data/1041061/0001041061-16-000056-index.html")</f>
        <v>http://www.sec.gov/Archives/edgar/data/1041061/0001041061-16-000056-index.html</v>
      </c>
    </row>
    <row r="7111" spans="1:6" x14ac:dyDescent="0.2">
      <c r="A7111" t="s">
        <v>6536</v>
      </c>
      <c r="B7111" s="1">
        <v>1061630</v>
      </c>
      <c r="C7111" s="1">
        <v>6798</v>
      </c>
      <c r="D7111" s="2">
        <v>42416</v>
      </c>
      <c r="E7111" s="1" t="s">
        <v>18</v>
      </c>
      <c r="F7111" t="str">
        <f>HYPERLINK("http://www.sec.gov/Archives/edgar/data/1061630/0001193125-16-465332-index.html")</f>
        <v>http://www.sec.gov/Archives/edgar/data/1061630/0001193125-16-465332-index.html</v>
      </c>
    </row>
    <row r="7112" spans="1:6" x14ac:dyDescent="0.2">
      <c r="A7112" t="s">
        <v>6537</v>
      </c>
      <c r="B7112" s="1">
        <v>106640</v>
      </c>
      <c r="C7112" s="1">
        <v>3630</v>
      </c>
      <c r="D7112" s="2">
        <v>42416</v>
      </c>
      <c r="E7112" s="1" t="s">
        <v>18</v>
      </c>
      <c r="F7112" t="str">
        <f>HYPERLINK("http://www.sec.gov/Archives/edgar/data/106640/0000106640-16-000068-index.html")</f>
        <v>http://www.sec.gov/Archives/edgar/data/106640/0000106640-16-000068-index.html</v>
      </c>
    </row>
    <row r="7113" spans="1:6" x14ac:dyDescent="0.2">
      <c r="A7113" t="s">
        <v>6538</v>
      </c>
      <c r="B7113" s="1">
        <v>1069202</v>
      </c>
      <c r="C7113" s="1">
        <v>3585</v>
      </c>
      <c r="D7113" s="2">
        <v>42416</v>
      </c>
      <c r="E7113" s="1" t="s">
        <v>18</v>
      </c>
      <c r="F7113" t="str">
        <f>HYPERLINK("http://www.sec.gov/Archives/edgar/data/1069202/0001069202-16-000014-index.html")</f>
        <v>http://www.sec.gov/Archives/edgar/data/1069202/0001069202-16-000014-index.html</v>
      </c>
    </row>
    <row r="7114" spans="1:6" x14ac:dyDescent="0.2">
      <c r="A7114" t="s">
        <v>6539</v>
      </c>
      <c r="B7114" s="1">
        <v>1089748</v>
      </c>
      <c r="C7114" s="1">
        <v>2800</v>
      </c>
      <c r="D7114" s="2">
        <v>42416</v>
      </c>
      <c r="E7114" s="1" t="s">
        <v>18</v>
      </c>
      <c r="F7114" t="str">
        <f>HYPERLINK("http://www.sec.gov/Archives/edgar/data/1089748/0001047469-16-010161-index.html")</f>
        <v>http://www.sec.gov/Archives/edgar/data/1089748/0001047469-16-010161-index.html</v>
      </c>
    </row>
    <row r="7115" spans="1:6" x14ac:dyDescent="0.2">
      <c r="A7115" t="s">
        <v>6540</v>
      </c>
      <c r="B7115" s="1">
        <v>1125920</v>
      </c>
      <c r="C7115" s="1">
        <v>7384</v>
      </c>
      <c r="D7115" s="2">
        <v>42416</v>
      </c>
      <c r="E7115" s="1" t="s">
        <v>18</v>
      </c>
      <c r="F7115" t="str">
        <f>HYPERLINK("http://www.sec.gov/Archives/edgar/data/1125920/0001125920-16-000129-index.html")</f>
        <v>http://www.sec.gov/Archives/edgar/data/1125920/0001125920-16-000129-index.html</v>
      </c>
    </row>
    <row r="7116" spans="1:6" x14ac:dyDescent="0.2">
      <c r="A7116" t="s">
        <v>6541</v>
      </c>
      <c r="B7116" s="1">
        <v>1176373</v>
      </c>
      <c r="C7116" s="1">
        <v>6798</v>
      </c>
      <c r="D7116" s="2">
        <v>42416</v>
      </c>
      <c r="E7116" s="1" t="s">
        <v>18</v>
      </c>
      <c r="F7116" t="str">
        <f>HYPERLINK("http://www.sec.gov/Archives/edgar/data/1176373/0001176373-16-000070-index.html")</f>
        <v>http://www.sec.gov/Archives/edgar/data/1176373/0001176373-16-000070-index.html</v>
      </c>
    </row>
    <row r="7117" spans="1:6" x14ac:dyDescent="0.2">
      <c r="A7117" t="s">
        <v>6542</v>
      </c>
      <c r="B7117" s="1">
        <v>1209028</v>
      </c>
      <c r="C7117" s="1">
        <v>6799</v>
      </c>
      <c r="D7117" s="2">
        <v>42416</v>
      </c>
      <c r="E7117" s="1" t="s">
        <v>18</v>
      </c>
      <c r="F7117" t="str">
        <f>HYPERLINK("http://www.sec.gov/Archives/edgar/data/1209028/0001144204-16-082862-index.html")</f>
        <v>http://www.sec.gov/Archives/edgar/data/1209028/0001144204-16-082862-index.html</v>
      </c>
    </row>
    <row r="7118" spans="1:6" x14ac:dyDescent="0.2">
      <c r="A7118" t="s">
        <v>6543</v>
      </c>
      <c r="B7118" s="1">
        <v>1212545</v>
      </c>
      <c r="C7118" s="1">
        <v>6022</v>
      </c>
      <c r="D7118" s="2">
        <v>42416</v>
      </c>
      <c r="E7118" s="1" t="s">
        <v>18</v>
      </c>
      <c r="F7118" t="str">
        <f>HYPERLINK("http://www.sec.gov/Archives/edgar/data/1212545/0001212545-16-000325-index.html")</f>
        <v>http://www.sec.gov/Archives/edgar/data/1212545/0001212545-16-000325-index.html</v>
      </c>
    </row>
    <row r="7119" spans="1:6" x14ac:dyDescent="0.2">
      <c r="A7119" t="s">
        <v>6544</v>
      </c>
      <c r="B7119" s="1">
        <v>1259515</v>
      </c>
      <c r="C7119" s="1">
        <v>3670</v>
      </c>
      <c r="D7119" s="2">
        <v>42416</v>
      </c>
      <c r="E7119" s="1" t="s">
        <v>18</v>
      </c>
      <c r="F7119" t="str">
        <f>HYPERLINK("http://www.sec.gov/Archives/edgar/data/1259515/0001558370-16-003248-index.html")</f>
        <v>http://www.sec.gov/Archives/edgar/data/1259515/0001558370-16-003248-index.html</v>
      </c>
    </row>
    <row r="7120" spans="1:6" x14ac:dyDescent="0.2">
      <c r="A7120" t="s">
        <v>6545</v>
      </c>
      <c r="B7120" s="1">
        <v>1267238</v>
      </c>
      <c r="C7120" s="1">
        <v>6321</v>
      </c>
      <c r="D7120" s="2">
        <v>42416</v>
      </c>
      <c r="E7120" s="1" t="s">
        <v>18</v>
      </c>
      <c r="F7120" t="str">
        <f>HYPERLINK("http://www.sec.gov/Archives/edgar/data/1267238/0001628280-16-011239-index.html")</f>
        <v>http://www.sec.gov/Archives/edgar/data/1267238/0001628280-16-011239-index.html</v>
      </c>
    </row>
    <row r="7121" spans="1:6" x14ac:dyDescent="0.2">
      <c r="A7121" t="s">
        <v>6546</v>
      </c>
      <c r="B7121" s="1">
        <v>1281761</v>
      </c>
      <c r="C7121" s="1">
        <v>6021</v>
      </c>
      <c r="D7121" s="2">
        <v>42416</v>
      </c>
      <c r="E7121" s="1" t="s">
        <v>18</v>
      </c>
      <c r="F7121" t="str">
        <f>HYPERLINK("http://www.sec.gov/Archives/edgar/data/1281761/0001281761-16-000108-index.html")</f>
        <v>http://www.sec.gov/Archives/edgar/data/1281761/0001281761-16-000108-index.html</v>
      </c>
    </row>
    <row r="7122" spans="1:6" x14ac:dyDescent="0.2">
      <c r="A7122" t="s">
        <v>1953</v>
      </c>
      <c r="B7122" s="1">
        <v>1285224</v>
      </c>
      <c r="C7122" s="1">
        <v>6022</v>
      </c>
      <c r="D7122" s="2">
        <v>42416</v>
      </c>
      <c r="E7122" s="1" t="s">
        <v>18</v>
      </c>
      <c r="F7122" t="str">
        <f>HYPERLINK("http://www.sec.gov/Archives/edgar/data/1285224/0001047469-16-010170-index.html")</f>
        <v>http://www.sec.gov/Archives/edgar/data/1285224/0001047469-16-010170-index.html</v>
      </c>
    </row>
    <row r="7123" spans="1:6" x14ac:dyDescent="0.2">
      <c r="A7123" t="s">
        <v>6547</v>
      </c>
      <c r="B7123" s="1">
        <v>1307954</v>
      </c>
      <c r="C7123" s="1">
        <v>2800</v>
      </c>
      <c r="D7123" s="2">
        <v>42416</v>
      </c>
      <c r="E7123" s="1" t="s">
        <v>18</v>
      </c>
      <c r="F7123" t="str">
        <f>HYPERLINK("http://www.sec.gov/Archives/edgar/data/1307954/0001047469-16-010161-index.html")</f>
        <v>http://www.sec.gov/Archives/edgar/data/1307954/0001047469-16-010161-index.html</v>
      </c>
    </row>
    <row r="7124" spans="1:6" x14ac:dyDescent="0.2">
      <c r="A7124" t="s">
        <v>6548</v>
      </c>
      <c r="B7124" s="1">
        <v>1360565</v>
      </c>
      <c r="C7124" s="1">
        <v>7372</v>
      </c>
      <c r="D7124" s="2">
        <v>42416</v>
      </c>
      <c r="E7124" s="1" t="s">
        <v>18</v>
      </c>
      <c r="F7124" t="str">
        <f>HYPERLINK("http://www.sec.gov/Archives/edgar/data/1360565/0001387131-16-004244-index.html")</f>
        <v>http://www.sec.gov/Archives/edgar/data/1360565/0001387131-16-004244-index.html</v>
      </c>
    </row>
    <row r="7125" spans="1:6" x14ac:dyDescent="0.2">
      <c r="A7125" t="s">
        <v>6549</v>
      </c>
      <c r="B7125" s="1">
        <v>1380846</v>
      </c>
      <c r="C7125" s="1">
        <v>6022</v>
      </c>
      <c r="D7125" s="2">
        <v>42416</v>
      </c>
      <c r="E7125" s="1" t="s">
        <v>18</v>
      </c>
      <c r="F7125" t="str">
        <f>HYPERLINK("http://www.sec.gov/Archives/edgar/data/1380846/0001380846-16-000029-index.html")</f>
        <v>http://www.sec.gov/Archives/edgar/data/1380846/0001380846-16-000029-index.html</v>
      </c>
    </row>
    <row r="7126" spans="1:6" x14ac:dyDescent="0.2">
      <c r="A7126" t="s">
        <v>6550</v>
      </c>
      <c r="B7126" s="1">
        <v>1385799</v>
      </c>
      <c r="C7126" s="1">
        <v>3842</v>
      </c>
      <c r="D7126" s="2">
        <v>42416</v>
      </c>
      <c r="E7126" s="1" t="s">
        <v>18</v>
      </c>
      <c r="F7126" t="str">
        <f>HYPERLINK("http://www.sec.gov/Archives/edgar/data/1385799/0001387131-16-004238-index.html")</f>
        <v>http://www.sec.gov/Archives/edgar/data/1385799/0001387131-16-004238-index.html</v>
      </c>
    </row>
    <row r="7127" spans="1:6" x14ac:dyDescent="0.2">
      <c r="A7127" t="s">
        <v>6551</v>
      </c>
      <c r="B7127" s="1">
        <v>1407703</v>
      </c>
      <c r="C7127" s="1">
        <v>4911</v>
      </c>
      <c r="D7127" s="2">
        <v>42416</v>
      </c>
      <c r="E7127" s="1" t="s">
        <v>18</v>
      </c>
      <c r="F7127" t="str">
        <f>HYPERLINK("http://www.sec.gov/Archives/edgar/data/1407703/0001031296-16-000071-index.html")</f>
        <v>http://www.sec.gov/Archives/edgar/data/1407703/0001031296-16-000071-index.html</v>
      </c>
    </row>
    <row r="7128" spans="1:6" x14ac:dyDescent="0.2">
      <c r="A7128" t="s">
        <v>6552</v>
      </c>
      <c r="B7128" s="1">
        <v>1414953</v>
      </c>
      <c r="C7128" s="1">
        <v>2030</v>
      </c>
      <c r="D7128" s="2">
        <v>42416</v>
      </c>
      <c r="E7128" s="1" t="s">
        <v>18</v>
      </c>
      <c r="F7128" t="str">
        <f>HYPERLINK("http://www.sec.gov/Archives/edgar/data/1414953/0001607062-16-000676-index.html")</f>
        <v>http://www.sec.gov/Archives/edgar/data/1414953/0001607062-16-000676-index.html</v>
      </c>
    </row>
    <row r="7129" spans="1:6" x14ac:dyDescent="0.2">
      <c r="A7129" t="s">
        <v>6553</v>
      </c>
      <c r="B7129" s="1">
        <v>1420800</v>
      </c>
      <c r="C7129" s="1">
        <v>3561</v>
      </c>
      <c r="D7129" s="2">
        <v>42416</v>
      </c>
      <c r="E7129" s="1" t="s">
        <v>18</v>
      </c>
      <c r="F7129" t="str">
        <f>HYPERLINK("http://www.sec.gov/Archives/edgar/data/1420800/0001420800-16-000047-index.html")</f>
        <v>http://www.sec.gov/Archives/edgar/data/1420800/0001420800-16-000047-index.html</v>
      </c>
    </row>
    <row r="7130" spans="1:6" x14ac:dyDescent="0.2">
      <c r="A7130" t="s">
        <v>6554</v>
      </c>
      <c r="B7130" s="1">
        <v>1421601</v>
      </c>
      <c r="C7130" s="1">
        <v>1040</v>
      </c>
      <c r="D7130" s="2">
        <v>42416</v>
      </c>
      <c r="E7130" s="1" t="s">
        <v>18</v>
      </c>
      <c r="F7130" t="str">
        <f>HYPERLINK("http://www.sec.gov/Archives/edgar/data/1421601/0001513162-16-000713-index.html")</f>
        <v>http://www.sec.gov/Archives/edgar/data/1421601/0001513162-16-000713-index.html</v>
      </c>
    </row>
    <row r="7131" spans="1:6" x14ac:dyDescent="0.2">
      <c r="A7131" t="s">
        <v>6555</v>
      </c>
      <c r="B7131" s="1">
        <v>1422295</v>
      </c>
      <c r="C7131" s="1">
        <v>1311</v>
      </c>
      <c r="D7131" s="2">
        <v>42416</v>
      </c>
      <c r="E7131" s="1" t="s">
        <v>18</v>
      </c>
      <c r="F7131" t="str">
        <f>HYPERLINK("http://www.sec.gov/Archives/edgar/data/1422295/0001019687-16-005184-index.html")</f>
        <v>http://www.sec.gov/Archives/edgar/data/1422295/0001019687-16-005184-index.html</v>
      </c>
    </row>
    <row r="7132" spans="1:6" x14ac:dyDescent="0.2">
      <c r="A7132" t="s">
        <v>6556</v>
      </c>
      <c r="B7132" s="1">
        <v>1489393</v>
      </c>
      <c r="C7132" s="1">
        <v>2860</v>
      </c>
      <c r="D7132" s="2">
        <v>42416</v>
      </c>
      <c r="E7132" s="1" t="s">
        <v>18</v>
      </c>
      <c r="F7132" t="str">
        <f>HYPERLINK("http://www.sec.gov/Archives/edgar/data/1489393/0001193125-16-465311-index.html")</f>
        <v>http://www.sec.gov/Archives/edgar/data/1489393/0001193125-16-465311-index.html</v>
      </c>
    </row>
    <row r="7133" spans="1:6" x14ac:dyDescent="0.2">
      <c r="A7133" t="s">
        <v>6557</v>
      </c>
      <c r="B7133" s="1">
        <v>1506307</v>
      </c>
      <c r="C7133" s="1">
        <v>4922</v>
      </c>
      <c r="D7133" s="2">
        <v>42416</v>
      </c>
      <c r="E7133" s="1" t="s">
        <v>18</v>
      </c>
      <c r="F7133" t="str">
        <f>HYPERLINK("http://www.sec.gov/Archives/edgar/data/1506307/0001506307-16-000072-index.html")</f>
        <v>http://www.sec.gov/Archives/edgar/data/1506307/0001506307-16-000072-index.html</v>
      </c>
    </row>
    <row r="7134" spans="1:6" x14ac:dyDescent="0.2">
      <c r="A7134" t="s">
        <v>3864</v>
      </c>
      <c r="B7134" s="1">
        <v>1509692</v>
      </c>
      <c r="C7134" s="1">
        <v>1382</v>
      </c>
      <c r="D7134" s="2">
        <v>42416</v>
      </c>
      <c r="E7134" s="1" t="s">
        <v>18</v>
      </c>
      <c r="F7134" t="str">
        <f>HYPERLINK("http://www.sec.gov/Archives/edgar/data/1509692/0001127855-16-000526-index.html")</f>
        <v>http://www.sec.gov/Archives/edgar/data/1509692/0001127855-16-000526-index.html</v>
      </c>
    </row>
    <row r="7135" spans="1:6" x14ac:dyDescent="0.2">
      <c r="A7135" t="s">
        <v>6558</v>
      </c>
      <c r="B7135" s="1">
        <v>1532063</v>
      </c>
      <c r="C7135" s="1">
        <v>5912</v>
      </c>
      <c r="D7135" s="2">
        <v>42416</v>
      </c>
      <c r="E7135" s="1" t="s">
        <v>18</v>
      </c>
      <c r="F7135" t="str">
        <f>HYPERLINK("http://www.sec.gov/Archives/edgar/data/1532063/0001532063-16-000017-index.html")</f>
        <v>http://www.sec.gov/Archives/edgar/data/1532063/0001532063-16-000017-index.html</v>
      </c>
    </row>
    <row r="7136" spans="1:6" x14ac:dyDescent="0.2">
      <c r="A7136" t="s">
        <v>6559</v>
      </c>
      <c r="B7136" s="1">
        <v>1537667</v>
      </c>
      <c r="C7136" s="1">
        <v>6798</v>
      </c>
      <c r="D7136" s="2">
        <v>42416</v>
      </c>
      <c r="E7136" s="1" t="s">
        <v>18</v>
      </c>
      <c r="F7136" t="str">
        <f>HYPERLINK("http://www.sec.gov/Archives/edgar/data/1537667/0001558370-16-003245-index.html")</f>
        <v>http://www.sec.gov/Archives/edgar/data/1537667/0001558370-16-003245-index.html</v>
      </c>
    </row>
    <row r="7137" spans="1:6" x14ac:dyDescent="0.2">
      <c r="A7137" t="s">
        <v>6560</v>
      </c>
      <c r="B7137" s="1">
        <v>1546853</v>
      </c>
      <c r="C7137" s="1">
        <v>7372</v>
      </c>
      <c r="D7137" s="2">
        <v>42416</v>
      </c>
      <c r="E7137" s="1" t="s">
        <v>18</v>
      </c>
      <c r="F7137" t="str">
        <f>HYPERLINK("http://www.sec.gov/Archives/edgar/data/1546853/0001477932-16-008580-index.html")</f>
        <v>http://www.sec.gov/Archives/edgar/data/1546853/0001477932-16-008580-index.html</v>
      </c>
    </row>
    <row r="7138" spans="1:6" x14ac:dyDescent="0.2">
      <c r="A7138" t="s">
        <v>6561</v>
      </c>
      <c r="B7138" s="1">
        <v>1570585</v>
      </c>
      <c r="C7138" s="1">
        <v>4841</v>
      </c>
      <c r="D7138" s="2">
        <v>42416</v>
      </c>
      <c r="E7138" s="1" t="s">
        <v>18</v>
      </c>
      <c r="F7138" t="str">
        <f>HYPERLINK("http://www.sec.gov/Archives/edgar/data/1570585/0001570585-16-000395-index.html")</f>
        <v>http://www.sec.gov/Archives/edgar/data/1570585/0001570585-16-000395-index.html</v>
      </c>
    </row>
    <row r="7139" spans="1:6" x14ac:dyDescent="0.2">
      <c r="A7139" t="s">
        <v>6562</v>
      </c>
      <c r="B7139" s="1">
        <v>1590496</v>
      </c>
      <c r="C7139" s="1">
        <v>5961</v>
      </c>
      <c r="D7139" s="2">
        <v>42416</v>
      </c>
      <c r="E7139" s="1" t="s">
        <v>18</v>
      </c>
      <c r="F7139" t="str">
        <f>HYPERLINK("http://www.sec.gov/Archives/edgar/data/1590496/0001477932-16-008603-index.html")</f>
        <v>http://www.sec.gov/Archives/edgar/data/1590496/0001477932-16-008603-index.html</v>
      </c>
    </row>
    <row r="7140" spans="1:6" x14ac:dyDescent="0.2">
      <c r="A7140" t="s">
        <v>6563</v>
      </c>
      <c r="B7140" s="1">
        <v>1591157</v>
      </c>
      <c r="C7140" s="1">
        <v>7372</v>
      </c>
      <c r="D7140" s="2">
        <v>42416</v>
      </c>
      <c r="E7140" s="1" t="s">
        <v>18</v>
      </c>
      <c r="F7140" t="str">
        <f>HYPERLINK("http://www.sec.gov/Archives/edgar/data/1591157/0001391609-16-000384-index.html")</f>
        <v>http://www.sec.gov/Archives/edgar/data/1591157/0001391609-16-000384-index.html</v>
      </c>
    </row>
    <row r="7141" spans="1:6" x14ac:dyDescent="0.2">
      <c r="A7141" t="s">
        <v>6564</v>
      </c>
      <c r="B7141" s="1">
        <v>1600784</v>
      </c>
      <c r="C7141" s="1">
        <v>6770</v>
      </c>
      <c r="D7141" s="2">
        <v>42416</v>
      </c>
      <c r="E7141" s="1" t="s">
        <v>18</v>
      </c>
      <c r="F7141" t="str">
        <f>HYPERLINK("http://www.sec.gov/Archives/edgar/data/1600784/0001214659-16-009553-index.html")</f>
        <v>http://www.sec.gov/Archives/edgar/data/1600784/0001214659-16-009553-index.html</v>
      </c>
    </row>
    <row r="7142" spans="1:6" x14ac:dyDescent="0.2">
      <c r="A7142" t="s">
        <v>6565</v>
      </c>
      <c r="B7142" s="1">
        <v>1603923</v>
      </c>
      <c r="C7142" s="1">
        <v>3533</v>
      </c>
      <c r="D7142" s="2">
        <v>42416</v>
      </c>
      <c r="E7142" s="1" t="s">
        <v>18</v>
      </c>
      <c r="F7142" t="str">
        <f>HYPERLINK("http://www.sec.gov/Archives/edgar/data/1603923/0001603923-16-000144-index.html")</f>
        <v>http://www.sec.gov/Archives/edgar/data/1603923/0001603923-16-000144-index.html</v>
      </c>
    </row>
    <row r="7143" spans="1:6" x14ac:dyDescent="0.2">
      <c r="A7143" t="s">
        <v>6566</v>
      </c>
      <c r="B7143" s="1">
        <v>1608430</v>
      </c>
      <c r="C7143" s="1">
        <v>3640</v>
      </c>
      <c r="D7143" s="2">
        <v>42416</v>
      </c>
      <c r="E7143" s="1" t="s">
        <v>18</v>
      </c>
      <c r="F7143" t="str">
        <f>HYPERLINK("http://www.sec.gov/Archives/edgar/data/1608430/0001477932-16-008601-index.html")</f>
        <v>http://www.sec.gov/Archives/edgar/data/1608430/0001477932-16-008601-index.html</v>
      </c>
    </row>
    <row r="7144" spans="1:6" x14ac:dyDescent="0.2">
      <c r="A7144" t="s">
        <v>6567</v>
      </c>
      <c r="B7144" s="1">
        <v>1614083</v>
      </c>
      <c r="C7144" s="1">
        <v>6770</v>
      </c>
      <c r="D7144" s="2">
        <v>42416</v>
      </c>
      <c r="E7144" s="1" t="s">
        <v>18</v>
      </c>
      <c r="F7144" t="str">
        <f>HYPERLINK("http://www.sec.gov/Archives/edgar/data/1614083/0001173375-16-000154-index.html")</f>
        <v>http://www.sec.gov/Archives/edgar/data/1614083/0001173375-16-000154-index.html</v>
      </c>
    </row>
    <row r="7145" spans="1:6" x14ac:dyDescent="0.2">
      <c r="A7145" t="s">
        <v>6568</v>
      </c>
      <c r="B7145" s="1">
        <v>1615346</v>
      </c>
      <c r="C7145" s="1">
        <v>6519</v>
      </c>
      <c r="D7145" s="2">
        <v>42416</v>
      </c>
      <c r="E7145" s="1" t="s">
        <v>18</v>
      </c>
      <c r="F7145" t="str">
        <f>HYPERLINK("http://www.sec.gov/Archives/edgar/data/1615346/0001558370-16-003212-index.html")</f>
        <v>http://www.sec.gov/Archives/edgar/data/1615346/0001558370-16-003212-index.html</v>
      </c>
    </row>
    <row r="7146" spans="1:6" x14ac:dyDescent="0.2">
      <c r="A7146" t="s">
        <v>6569</v>
      </c>
      <c r="B7146" s="1">
        <v>1623613</v>
      </c>
      <c r="C7146" s="1">
        <v>2834</v>
      </c>
      <c r="D7146" s="2">
        <v>42416</v>
      </c>
      <c r="E7146" s="1" t="s">
        <v>18</v>
      </c>
      <c r="F7146" t="str">
        <f>HYPERLINK("http://www.sec.gov/Archives/edgar/data/1623613/0001623613-16-000046-index.html")</f>
        <v>http://www.sec.gov/Archives/edgar/data/1623613/0001623613-16-000046-index.html</v>
      </c>
    </row>
    <row r="7147" spans="1:6" x14ac:dyDescent="0.2">
      <c r="A7147" t="s">
        <v>6570</v>
      </c>
      <c r="B7147" s="1">
        <v>18230</v>
      </c>
      <c r="C7147" s="1">
        <v>3531</v>
      </c>
      <c r="D7147" s="2">
        <v>42416</v>
      </c>
      <c r="E7147" s="1" t="s">
        <v>18</v>
      </c>
      <c r="F7147" t="str">
        <f>HYPERLINK("http://www.sec.gov/Archives/edgar/data/18230/0000018230-16-000410-index.html")</f>
        <v>http://www.sec.gov/Archives/edgar/data/18230/0000018230-16-000410-index.html</v>
      </c>
    </row>
    <row r="7148" spans="1:6" x14ac:dyDescent="0.2">
      <c r="A7148" t="s">
        <v>6571</v>
      </c>
      <c r="B7148" s="1">
        <v>277595</v>
      </c>
      <c r="C7148" s="1">
        <v>1311</v>
      </c>
      <c r="D7148" s="2">
        <v>42416</v>
      </c>
      <c r="E7148" s="1" t="s">
        <v>18</v>
      </c>
      <c r="F7148" t="str">
        <f>HYPERLINK("http://www.sec.gov/Archives/edgar/data/277595/0000277595-16-000067-index.html")</f>
        <v>http://www.sec.gov/Archives/edgar/data/277595/0000277595-16-000067-index.html</v>
      </c>
    </row>
    <row r="7149" spans="1:6" x14ac:dyDescent="0.2">
      <c r="A7149" t="s">
        <v>6572</v>
      </c>
      <c r="B7149" s="1">
        <v>318154</v>
      </c>
      <c r="C7149" s="1">
        <v>2836</v>
      </c>
      <c r="D7149" s="2">
        <v>42416</v>
      </c>
      <c r="E7149" s="1" t="s">
        <v>18</v>
      </c>
      <c r="F7149" t="str">
        <f>HYPERLINK("http://www.sec.gov/Archives/edgar/data/318154/0000318154-16-000031-index.html")</f>
        <v>http://www.sec.gov/Archives/edgar/data/318154/0000318154-16-000031-index.html</v>
      </c>
    </row>
    <row r="7150" spans="1:6" x14ac:dyDescent="0.2">
      <c r="A7150" t="s">
        <v>6573</v>
      </c>
      <c r="B7150" s="1">
        <v>3499</v>
      </c>
      <c r="C7150" s="1">
        <v>6798</v>
      </c>
      <c r="D7150" s="2">
        <v>42416</v>
      </c>
      <c r="E7150" s="1" t="s">
        <v>18</v>
      </c>
      <c r="F7150" t="str">
        <f>HYPERLINK("http://www.sec.gov/Archives/edgar/data/3499/0000003499-16-000034-index.html")</f>
        <v>http://www.sec.gov/Archives/edgar/data/3499/0000003499-16-000034-index.html</v>
      </c>
    </row>
    <row r="7151" spans="1:6" x14ac:dyDescent="0.2">
      <c r="A7151" t="s">
        <v>927</v>
      </c>
      <c r="B7151" s="1">
        <v>40888</v>
      </c>
      <c r="C7151" s="1">
        <v>3760</v>
      </c>
      <c r="D7151" s="2">
        <v>42416</v>
      </c>
      <c r="E7151" s="1" t="s">
        <v>18</v>
      </c>
      <c r="F7151" t="str">
        <f>HYPERLINK("http://www.sec.gov/Archives/edgar/data/40888/0000040888-16-000027-index.html")</f>
        <v>http://www.sec.gov/Archives/edgar/data/40888/0000040888-16-000027-index.html</v>
      </c>
    </row>
    <row r="7152" spans="1:6" x14ac:dyDescent="0.2">
      <c r="A7152" t="s">
        <v>6574</v>
      </c>
      <c r="B7152" s="1">
        <v>42888</v>
      </c>
      <c r="C7152" s="1">
        <v>3561</v>
      </c>
      <c r="D7152" s="2">
        <v>42416</v>
      </c>
      <c r="E7152" s="1" t="s">
        <v>18</v>
      </c>
      <c r="F7152" t="str">
        <f>HYPERLINK("http://www.sec.gov/Archives/edgar/data/42888/0000042888-16-000010-index.html")</f>
        <v>http://www.sec.gov/Archives/edgar/data/42888/0000042888-16-000010-index.html</v>
      </c>
    </row>
    <row r="7153" spans="1:6" x14ac:dyDescent="0.2">
      <c r="A7153" t="s">
        <v>6575</v>
      </c>
      <c r="B7153" s="1">
        <v>65759</v>
      </c>
      <c r="C7153" s="1">
        <v>3674</v>
      </c>
      <c r="D7153" s="2">
        <v>42416</v>
      </c>
      <c r="E7153" s="1" t="s">
        <v>18</v>
      </c>
      <c r="F7153" t="str">
        <f>HYPERLINK("http://www.sec.gov/Archives/edgar/data/65759/0001010549-16-000492-index.html")</f>
        <v>http://www.sec.gov/Archives/edgar/data/65759/0001010549-16-000492-index.html</v>
      </c>
    </row>
    <row r="7154" spans="1:6" x14ac:dyDescent="0.2">
      <c r="A7154" t="s">
        <v>6576</v>
      </c>
      <c r="B7154" s="1">
        <v>75362</v>
      </c>
      <c r="C7154" s="1">
        <v>3711</v>
      </c>
      <c r="D7154" s="2">
        <v>42416</v>
      </c>
      <c r="E7154" s="1" t="s">
        <v>18</v>
      </c>
      <c r="F7154" t="str">
        <f>HYPERLINK("http://www.sec.gov/Archives/edgar/data/75362/0001193125-16-465258-index.html")</f>
        <v>http://www.sec.gov/Archives/edgar/data/75362/0001193125-16-465258-index.html</v>
      </c>
    </row>
    <row r="7155" spans="1:6" x14ac:dyDescent="0.2">
      <c r="A7155" t="s">
        <v>6577</v>
      </c>
      <c r="B7155" s="1">
        <v>764764</v>
      </c>
      <c r="C7155" s="1">
        <v>6159</v>
      </c>
      <c r="D7155" s="2">
        <v>42416</v>
      </c>
      <c r="E7155" s="1" t="s">
        <v>18</v>
      </c>
      <c r="F7155" t="str">
        <f>HYPERLINK("http://www.sec.gov/Archives/edgar/data/764764/0000764764-16-000111-index.html")</f>
        <v>http://www.sec.gov/Archives/edgar/data/764764/0000764764-16-000111-index.html</v>
      </c>
    </row>
    <row r="7156" spans="1:6" x14ac:dyDescent="0.2">
      <c r="A7156" t="s">
        <v>3074</v>
      </c>
      <c r="B7156" s="1">
        <v>784199</v>
      </c>
      <c r="C7156" s="1">
        <v>3841</v>
      </c>
      <c r="D7156" s="2">
        <v>42416</v>
      </c>
      <c r="E7156" s="1" t="s">
        <v>18</v>
      </c>
      <c r="F7156" t="str">
        <f>HYPERLINK("http://www.sec.gov/Archives/edgar/data/784199/0001193125-16-465362-index.html")</f>
        <v>http://www.sec.gov/Archives/edgar/data/784199/0001193125-16-465362-index.html</v>
      </c>
    </row>
    <row r="7157" spans="1:6" x14ac:dyDescent="0.2">
      <c r="A7157" t="s">
        <v>6578</v>
      </c>
      <c r="B7157" s="1">
        <v>789460</v>
      </c>
      <c r="C7157" s="1">
        <v>5172</v>
      </c>
      <c r="D7157" s="2">
        <v>42416</v>
      </c>
      <c r="E7157" s="1" t="s">
        <v>18</v>
      </c>
      <c r="F7157" t="str">
        <f>HYPERLINK("http://www.sec.gov/Archives/edgar/data/789460/0001558370-16-003246-index.html")</f>
        <v>http://www.sec.gov/Archives/edgar/data/789460/0001558370-16-003246-index.html</v>
      </c>
    </row>
    <row r="7158" spans="1:6" x14ac:dyDescent="0.2">
      <c r="A7158" t="s">
        <v>1493</v>
      </c>
      <c r="B7158" s="1">
        <v>812074</v>
      </c>
      <c r="C7158" s="1">
        <v>3221</v>
      </c>
      <c r="D7158" s="2">
        <v>42416</v>
      </c>
      <c r="E7158" s="1" t="s">
        <v>18</v>
      </c>
      <c r="F7158" t="str">
        <f>HYPERLINK("http://www.sec.gov/Archives/edgar/data/812074/0001558370-16-003216-index.html")</f>
        <v>http://www.sec.gov/Archives/edgar/data/812074/0001558370-16-003216-index.html</v>
      </c>
    </row>
    <row r="7159" spans="1:6" x14ac:dyDescent="0.2">
      <c r="A7159" t="s">
        <v>6579</v>
      </c>
      <c r="B7159" s="1">
        <v>812233</v>
      </c>
      <c r="C7159" s="1">
        <v>3221</v>
      </c>
      <c r="D7159" s="2">
        <v>42416</v>
      </c>
      <c r="E7159" s="1" t="s">
        <v>18</v>
      </c>
      <c r="F7159" t="str">
        <f>HYPERLINK("http://www.sec.gov/Archives/edgar/data/812233/0001558370-16-003218-index.html")</f>
        <v>http://www.sec.gov/Archives/edgar/data/812233/0001558370-16-003218-index.html</v>
      </c>
    </row>
    <row r="7160" spans="1:6" x14ac:dyDescent="0.2">
      <c r="A7160" t="s">
        <v>6580</v>
      </c>
      <c r="B7160" s="1">
        <v>813828</v>
      </c>
      <c r="C7160" s="1">
        <v>4833</v>
      </c>
      <c r="D7160" s="2">
        <v>42416</v>
      </c>
      <c r="E7160" s="1" t="s">
        <v>18</v>
      </c>
      <c r="F7160" t="str">
        <f>HYPERLINK("http://www.sec.gov/Archives/edgar/data/813828/0000813828-16-000065-index.html")</f>
        <v>http://www.sec.gov/Archives/edgar/data/813828/0000813828-16-000065-index.html</v>
      </c>
    </row>
    <row r="7161" spans="1:6" x14ac:dyDescent="0.2">
      <c r="A7161" t="s">
        <v>6581</v>
      </c>
      <c r="B7161" s="1">
        <v>875320</v>
      </c>
      <c r="C7161" s="1">
        <v>2834</v>
      </c>
      <c r="D7161" s="2">
        <v>42416</v>
      </c>
      <c r="E7161" s="1" t="s">
        <v>18</v>
      </c>
      <c r="F7161" t="str">
        <f>HYPERLINK("http://www.sec.gov/Archives/edgar/data/875320/0000875320-16-000067-index.html")</f>
        <v>http://www.sec.gov/Archives/edgar/data/875320/0000875320-16-000067-index.html</v>
      </c>
    </row>
    <row r="7162" spans="1:6" x14ac:dyDescent="0.2">
      <c r="A7162" t="s">
        <v>6582</v>
      </c>
      <c r="B7162" s="1">
        <v>899689</v>
      </c>
      <c r="C7162" s="1">
        <v>6798</v>
      </c>
      <c r="D7162" s="2">
        <v>42416</v>
      </c>
      <c r="E7162" s="1" t="s">
        <v>18</v>
      </c>
      <c r="F7162" t="str">
        <f>HYPERLINK("http://www.sec.gov/Archives/edgar/data/899689/0000899689-16-000046-index.html")</f>
        <v>http://www.sec.gov/Archives/edgar/data/899689/0000899689-16-000046-index.html</v>
      </c>
    </row>
    <row r="7163" spans="1:6" x14ac:dyDescent="0.2">
      <c r="A7163" t="s">
        <v>6583</v>
      </c>
      <c r="B7163" s="1">
        <v>899749</v>
      </c>
      <c r="C7163" s="1">
        <v>6798</v>
      </c>
      <c r="D7163" s="2">
        <v>42416</v>
      </c>
      <c r="E7163" s="1" t="s">
        <v>18</v>
      </c>
      <c r="F7163" t="str">
        <f>HYPERLINK("http://www.sec.gov/Archives/edgar/data/899749/0000899749-16-000061-index.html")</f>
        <v>http://www.sec.gov/Archives/edgar/data/899749/0000899749-16-000061-index.html</v>
      </c>
    </row>
    <row r="7164" spans="1:6" x14ac:dyDescent="0.2">
      <c r="A7164" t="s">
        <v>6584</v>
      </c>
      <c r="B7164" s="1">
        <v>9389</v>
      </c>
      <c r="C7164" s="1">
        <v>3411</v>
      </c>
      <c r="D7164" s="2">
        <v>42416</v>
      </c>
      <c r="E7164" s="1" t="s">
        <v>18</v>
      </c>
      <c r="F7164" t="str">
        <f>HYPERLINK("http://www.sec.gov/Archives/edgar/data/9389/0001104659-16-097390-index.html")</f>
        <v>http://www.sec.gov/Archives/edgar/data/9389/0001104659-16-097390-index.html</v>
      </c>
    </row>
    <row r="7165" spans="1:6" x14ac:dyDescent="0.2">
      <c r="A7165" t="s">
        <v>6585</v>
      </c>
      <c r="B7165" s="1">
        <v>1000180</v>
      </c>
      <c r="C7165" s="1">
        <v>3572</v>
      </c>
      <c r="D7165" s="2">
        <v>42412</v>
      </c>
      <c r="E7165" s="1" t="s">
        <v>18</v>
      </c>
      <c r="F7165" t="str">
        <f>HYPERLINK("http://www.sec.gov/Archives/edgar/data/1000180/0001000180-16-000068-index.html")</f>
        <v>http://www.sec.gov/Archives/edgar/data/1000180/0001000180-16-000068-index.html</v>
      </c>
    </row>
    <row r="7166" spans="1:6" x14ac:dyDescent="0.2">
      <c r="A7166" t="s">
        <v>6586</v>
      </c>
      <c r="B7166" s="1">
        <v>1000229</v>
      </c>
      <c r="C7166" s="1">
        <v>1389</v>
      </c>
      <c r="D7166" s="2">
        <v>42412</v>
      </c>
      <c r="E7166" s="1" t="s">
        <v>18</v>
      </c>
      <c r="F7166" t="str">
        <f>HYPERLINK("http://www.sec.gov/Archives/edgar/data/1000229/0001000229-16-000149-index.html")</f>
        <v>http://www.sec.gov/Archives/edgar/data/1000229/0001000229-16-000149-index.html</v>
      </c>
    </row>
    <row r="7167" spans="1:6" x14ac:dyDescent="0.2">
      <c r="A7167" t="s">
        <v>1548</v>
      </c>
      <c r="B7167" s="1">
        <v>1000753</v>
      </c>
      <c r="C7167" s="1">
        <v>7363</v>
      </c>
      <c r="D7167" s="2">
        <v>42412</v>
      </c>
      <c r="E7167" s="1" t="s">
        <v>18</v>
      </c>
      <c r="F7167" t="str">
        <f>HYPERLINK("http://www.sec.gov/Archives/edgar/data/1000753/0001000753-16-000075-index.html")</f>
        <v>http://www.sec.gov/Archives/edgar/data/1000753/0001000753-16-000075-index.html</v>
      </c>
    </row>
    <row r="7168" spans="1:6" x14ac:dyDescent="0.2">
      <c r="A7168" t="s">
        <v>1594</v>
      </c>
      <c r="B7168" s="1">
        <v>1001463</v>
      </c>
      <c r="C7168" s="1">
        <v>5010</v>
      </c>
      <c r="D7168" s="2">
        <v>42412</v>
      </c>
      <c r="E7168" s="1" t="s">
        <v>18</v>
      </c>
      <c r="F7168" t="str">
        <f>HYPERLINK("http://www.sec.gov/Archives/edgar/data/1001463/0001185185-16-003668-index.html")</f>
        <v>http://www.sec.gov/Archives/edgar/data/1001463/0001185185-16-003668-index.html</v>
      </c>
    </row>
    <row r="7169" spans="1:6" x14ac:dyDescent="0.2">
      <c r="A7169" t="s">
        <v>6587</v>
      </c>
      <c r="B7169" s="1">
        <v>100790</v>
      </c>
      <c r="C7169" s="1">
        <v>2860</v>
      </c>
      <c r="D7169" s="2">
        <v>42412</v>
      </c>
      <c r="E7169" s="1" t="s">
        <v>18</v>
      </c>
      <c r="F7169" t="str">
        <f>HYPERLINK("http://www.sec.gov/Archives/edgar/data/100790/0000029915-16-000064-index.html")</f>
        <v>http://www.sec.gov/Archives/edgar/data/100790/0000029915-16-000064-index.html</v>
      </c>
    </row>
    <row r="7170" spans="1:6" x14ac:dyDescent="0.2">
      <c r="A7170" t="s">
        <v>6588</v>
      </c>
      <c r="B7170" s="1">
        <v>1015739</v>
      </c>
      <c r="C7170" s="1">
        <v>7372</v>
      </c>
      <c r="D7170" s="2">
        <v>42412</v>
      </c>
      <c r="E7170" s="1" t="s">
        <v>18</v>
      </c>
      <c r="F7170" t="str">
        <f>HYPERLINK("http://www.sec.gov/Archives/edgar/data/1015739/0001571049-16-011724-index.html")</f>
        <v>http://www.sec.gov/Archives/edgar/data/1015739/0001571049-16-011724-index.html</v>
      </c>
    </row>
    <row r="7171" spans="1:6" x14ac:dyDescent="0.2">
      <c r="A7171" t="s">
        <v>6589</v>
      </c>
      <c r="B7171" s="1">
        <v>1025996</v>
      </c>
      <c r="C7171" s="1">
        <v>6798</v>
      </c>
      <c r="D7171" s="2">
        <v>42412</v>
      </c>
      <c r="E7171" s="1" t="s">
        <v>18</v>
      </c>
      <c r="F7171" t="str">
        <f>HYPERLINK("http://www.sec.gov/Archives/edgar/data/1025996/0001025996-16-000298-index.html")</f>
        <v>http://www.sec.gov/Archives/edgar/data/1025996/0001025996-16-000298-index.html</v>
      </c>
    </row>
    <row r="7172" spans="1:6" x14ac:dyDescent="0.2">
      <c r="A7172" t="s">
        <v>6590</v>
      </c>
      <c r="B7172" s="1">
        <v>1028734</v>
      </c>
      <c r="C7172" s="1">
        <v>6021</v>
      </c>
      <c r="D7172" s="2">
        <v>42412</v>
      </c>
      <c r="E7172" s="1" t="s">
        <v>18</v>
      </c>
      <c r="F7172" t="str">
        <f>HYPERLINK("http://www.sec.gov/Archives/edgar/data/1028734/0001558370-16-003167-index.html")</f>
        <v>http://www.sec.gov/Archives/edgar/data/1028734/0001558370-16-003167-index.html</v>
      </c>
    </row>
    <row r="7173" spans="1:6" x14ac:dyDescent="0.2">
      <c r="A7173" t="s">
        <v>6591</v>
      </c>
      <c r="B7173" s="1">
        <v>1037390</v>
      </c>
      <c r="C7173" s="1">
        <v>6500</v>
      </c>
      <c r="D7173" s="2">
        <v>42412</v>
      </c>
      <c r="E7173" s="1" t="s">
        <v>18</v>
      </c>
      <c r="F7173" t="str">
        <f>HYPERLINK("http://www.sec.gov/Archives/edgar/data/1037390/0001047469-16-010132-index.html")</f>
        <v>http://www.sec.gov/Archives/edgar/data/1037390/0001047469-16-010132-index.html</v>
      </c>
    </row>
    <row r="7174" spans="1:6" x14ac:dyDescent="0.2">
      <c r="A7174" t="s">
        <v>6592</v>
      </c>
      <c r="B7174" s="1">
        <v>1060391</v>
      </c>
      <c r="C7174" s="1">
        <v>4953</v>
      </c>
      <c r="D7174" s="2">
        <v>42412</v>
      </c>
      <c r="E7174" s="1" t="s">
        <v>18</v>
      </c>
      <c r="F7174" t="str">
        <f>HYPERLINK("http://www.sec.gov/Archives/edgar/data/1060391/0001060391-16-000060-index.html")</f>
        <v>http://www.sec.gov/Archives/edgar/data/1060391/0001060391-16-000060-index.html</v>
      </c>
    </row>
    <row r="7175" spans="1:6" x14ac:dyDescent="0.2">
      <c r="A7175" t="s">
        <v>6593</v>
      </c>
      <c r="B7175" s="1">
        <v>1062231</v>
      </c>
      <c r="C7175" s="1">
        <v>3714</v>
      </c>
      <c r="D7175" s="2">
        <v>42412</v>
      </c>
      <c r="E7175" s="1" t="s">
        <v>18</v>
      </c>
      <c r="F7175" t="str">
        <f>HYPERLINK("http://www.sec.gov/Archives/edgar/data/1062231/0001062231-16-000091-index.html")</f>
        <v>http://www.sec.gov/Archives/edgar/data/1062231/0001062231-16-000091-index.html</v>
      </c>
    </row>
    <row r="7176" spans="1:6" x14ac:dyDescent="0.2">
      <c r="A7176" t="s">
        <v>6594</v>
      </c>
      <c r="B7176" s="1">
        <v>1091907</v>
      </c>
      <c r="C7176" s="1">
        <v>7812</v>
      </c>
      <c r="D7176" s="2">
        <v>42412</v>
      </c>
      <c r="E7176" s="1" t="s">
        <v>18</v>
      </c>
      <c r="F7176" t="str">
        <f>HYPERLINK("http://www.sec.gov/Archives/edgar/data/1091907/0001091907-16-000046-index.html")</f>
        <v>http://www.sec.gov/Archives/edgar/data/1091907/0001091907-16-000046-index.html</v>
      </c>
    </row>
    <row r="7177" spans="1:6" x14ac:dyDescent="0.2">
      <c r="A7177" t="s">
        <v>6595</v>
      </c>
      <c r="B7177" s="1">
        <v>1096325</v>
      </c>
      <c r="C7177" s="1">
        <v>3674</v>
      </c>
      <c r="D7177" s="2">
        <v>42412</v>
      </c>
      <c r="E7177" s="1" t="s">
        <v>18</v>
      </c>
      <c r="F7177" t="str">
        <f>HYPERLINK("http://www.sec.gov/Archives/edgar/data/1096325/0001096325-16-000077-index.html")</f>
        <v>http://www.sec.gov/Archives/edgar/data/1096325/0001096325-16-000077-index.html</v>
      </c>
    </row>
    <row r="7178" spans="1:6" x14ac:dyDescent="0.2">
      <c r="A7178" t="s">
        <v>6596</v>
      </c>
      <c r="B7178" s="1">
        <v>1100682</v>
      </c>
      <c r="C7178" s="1">
        <v>8731</v>
      </c>
      <c r="D7178" s="2">
        <v>42412</v>
      </c>
      <c r="E7178" s="1" t="s">
        <v>18</v>
      </c>
      <c r="F7178" t="str">
        <f>HYPERLINK("http://www.sec.gov/Archives/edgar/data/1100682/0001100682-16-000006-index.html")</f>
        <v>http://www.sec.gov/Archives/edgar/data/1100682/0001100682-16-000006-index.html</v>
      </c>
    </row>
    <row r="7179" spans="1:6" x14ac:dyDescent="0.2">
      <c r="A7179" t="s">
        <v>6597</v>
      </c>
      <c r="B7179" s="1">
        <v>1122976</v>
      </c>
      <c r="C7179" s="1">
        <v>2821</v>
      </c>
      <c r="D7179" s="2">
        <v>42412</v>
      </c>
      <c r="E7179" s="1" t="s">
        <v>18</v>
      </c>
      <c r="F7179" t="str">
        <f>HYPERLINK("http://www.sec.gov/Archives/edgar/data/1122976/0001122976-16-000032-index.html")</f>
        <v>http://www.sec.gov/Archives/edgar/data/1122976/0001122976-16-000032-index.html</v>
      </c>
    </row>
    <row r="7180" spans="1:6" x14ac:dyDescent="0.2">
      <c r="A7180" t="s">
        <v>6598</v>
      </c>
      <c r="B7180" s="1">
        <v>1141391</v>
      </c>
      <c r="C7180" s="1">
        <v>7389</v>
      </c>
      <c r="D7180" s="2">
        <v>42412</v>
      </c>
      <c r="E7180" s="1" t="s">
        <v>18</v>
      </c>
      <c r="F7180" t="str">
        <f>HYPERLINK("http://www.sec.gov/Archives/edgar/data/1141391/0001141391-16-000085-index.html")</f>
        <v>http://www.sec.gov/Archives/edgar/data/1141391/0001141391-16-000085-index.html</v>
      </c>
    </row>
    <row r="7181" spans="1:6" x14ac:dyDescent="0.2">
      <c r="A7181" t="s">
        <v>6599</v>
      </c>
      <c r="B7181" s="1">
        <v>1178670</v>
      </c>
      <c r="C7181" s="1">
        <v>2834</v>
      </c>
      <c r="D7181" s="2">
        <v>42412</v>
      </c>
      <c r="E7181" s="1" t="s">
        <v>18</v>
      </c>
      <c r="F7181" t="str">
        <f>HYPERLINK("http://www.sec.gov/Archives/edgar/data/1178670/0001193125-16-462538-index.html")</f>
        <v>http://www.sec.gov/Archives/edgar/data/1178670/0001193125-16-462538-index.html</v>
      </c>
    </row>
    <row r="7182" spans="1:6" x14ac:dyDescent="0.2">
      <c r="A7182" t="s">
        <v>6600</v>
      </c>
      <c r="B7182" s="1">
        <v>1206264</v>
      </c>
      <c r="C7182" s="1">
        <v>2510</v>
      </c>
      <c r="D7182" s="2">
        <v>42412</v>
      </c>
      <c r="E7182" s="1" t="s">
        <v>18</v>
      </c>
      <c r="F7182" t="str">
        <f>HYPERLINK("http://www.sec.gov/Archives/edgar/data/1206264/0001206264-16-000106-index.html")</f>
        <v>http://www.sec.gov/Archives/edgar/data/1206264/0001206264-16-000106-index.html</v>
      </c>
    </row>
    <row r="7183" spans="1:6" x14ac:dyDescent="0.2">
      <c r="A7183" t="s">
        <v>6601</v>
      </c>
      <c r="B7183" s="1">
        <v>1250897</v>
      </c>
      <c r="C7183" s="1">
        <v>3590</v>
      </c>
      <c r="D7183" s="2">
        <v>42412</v>
      </c>
      <c r="E7183" s="1" t="s">
        <v>18</v>
      </c>
      <c r="F7183" t="str">
        <f>HYPERLINK("http://www.sec.gov/Archives/edgar/data/1250897/0001354488-16-006189-index.html")</f>
        <v>http://www.sec.gov/Archives/edgar/data/1250897/0001354488-16-006189-index.html</v>
      </c>
    </row>
    <row r="7184" spans="1:6" x14ac:dyDescent="0.2">
      <c r="A7184" t="s">
        <v>6602</v>
      </c>
      <c r="B7184" s="1">
        <v>1271024</v>
      </c>
      <c r="C7184" s="1">
        <v>7370</v>
      </c>
      <c r="D7184" s="2">
        <v>42412</v>
      </c>
      <c r="E7184" s="1" t="s">
        <v>18</v>
      </c>
      <c r="F7184" t="str">
        <f>HYPERLINK("http://www.sec.gov/Archives/edgar/data/1271024/0001271024-16-000035-index.html")</f>
        <v>http://www.sec.gov/Archives/edgar/data/1271024/0001271024-16-000035-index.html</v>
      </c>
    </row>
    <row r="7185" spans="1:6" x14ac:dyDescent="0.2">
      <c r="A7185" t="s">
        <v>6603</v>
      </c>
      <c r="B7185" s="1">
        <v>1272830</v>
      </c>
      <c r="C7185" s="1">
        <v>4813</v>
      </c>
      <c r="D7185" s="2">
        <v>42412</v>
      </c>
      <c r="E7185" s="1" t="s">
        <v>18</v>
      </c>
      <c r="F7185" t="str">
        <f>HYPERLINK("http://www.sec.gov/Archives/edgar/data/1272830/0001272830-16-000113-index.html")</f>
        <v>http://www.sec.gov/Archives/edgar/data/1272830/0001272830-16-000113-index.html</v>
      </c>
    </row>
    <row r="7186" spans="1:6" x14ac:dyDescent="0.2">
      <c r="A7186" t="s">
        <v>6604</v>
      </c>
      <c r="B7186" s="1">
        <v>1279363</v>
      </c>
      <c r="C7186" s="1">
        <v>6324</v>
      </c>
      <c r="D7186" s="2">
        <v>42412</v>
      </c>
      <c r="E7186" s="1" t="s">
        <v>18</v>
      </c>
      <c r="F7186" t="str">
        <f>HYPERLINK("http://www.sec.gov/Archives/edgar/data/1279363/0001279363-16-000080-index.html")</f>
        <v>http://www.sec.gov/Archives/edgar/data/1279363/0001279363-16-000080-index.html</v>
      </c>
    </row>
    <row r="7187" spans="1:6" x14ac:dyDescent="0.2">
      <c r="A7187" t="s">
        <v>6605</v>
      </c>
      <c r="B7187" s="1">
        <v>1282637</v>
      </c>
      <c r="C7187" s="1">
        <v>2860</v>
      </c>
      <c r="D7187" s="2">
        <v>42412</v>
      </c>
      <c r="E7187" s="1" t="s">
        <v>18</v>
      </c>
      <c r="F7187" t="str">
        <f>HYPERLINK("http://www.sec.gov/Archives/edgar/data/1282637/0001282637-16-000028-index.html")</f>
        <v>http://www.sec.gov/Archives/edgar/data/1282637/0001282637-16-000028-index.html</v>
      </c>
    </row>
    <row r="7188" spans="1:6" x14ac:dyDescent="0.2">
      <c r="A7188" t="s">
        <v>6606</v>
      </c>
      <c r="B7188" s="1">
        <v>1289850</v>
      </c>
      <c r="C7188" s="1">
        <v>3841</v>
      </c>
      <c r="D7188" s="2">
        <v>42412</v>
      </c>
      <c r="E7188" s="1" t="s">
        <v>18</v>
      </c>
      <c r="F7188" t="str">
        <f>HYPERLINK("http://www.sec.gov/Archives/edgar/data/1289850/0001144204-16-081638-index.html")</f>
        <v>http://www.sec.gov/Archives/edgar/data/1289850/0001144204-16-081638-index.html</v>
      </c>
    </row>
    <row r="7189" spans="1:6" x14ac:dyDescent="0.2">
      <c r="A7189" t="s">
        <v>6607</v>
      </c>
      <c r="B7189" s="1">
        <v>1301611</v>
      </c>
      <c r="C7189" s="1">
        <v>8062</v>
      </c>
      <c r="D7189" s="2">
        <v>42412</v>
      </c>
      <c r="E7189" s="1" t="s">
        <v>18</v>
      </c>
      <c r="F7189" t="str">
        <f>HYPERLINK("http://www.sec.gov/Archives/edgar/data/1301611/0001301611-16-000015-index.html")</f>
        <v>http://www.sec.gov/Archives/edgar/data/1301611/0001301611-16-000015-index.html</v>
      </c>
    </row>
    <row r="7190" spans="1:6" x14ac:dyDescent="0.2">
      <c r="A7190" t="s">
        <v>6608</v>
      </c>
      <c r="B7190" s="1">
        <v>1332349</v>
      </c>
      <c r="C7190" s="1">
        <v>8050</v>
      </c>
      <c r="D7190" s="2">
        <v>42412</v>
      </c>
      <c r="E7190" s="1" t="s">
        <v>18</v>
      </c>
      <c r="F7190" t="str">
        <f>HYPERLINK("http://www.sec.gov/Archives/edgar/data/1332349/0001332349-16-000072-index.html")</f>
        <v>http://www.sec.gov/Archives/edgar/data/1332349/0001332349-16-000072-index.html</v>
      </c>
    </row>
    <row r="7191" spans="1:6" x14ac:dyDescent="0.2">
      <c r="A7191" t="s">
        <v>6609</v>
      </c>
      <c r="B7191" s="1">
        <v>1333274</v>
      </c>
      <c r="C7191" s="1">
        <v>2611</v>
      </c>
      <c r="D7191" s="2">
        <v>42412</v>
      </c>
      <c r="E7191" s="1" t="s">
        <v>18</v>
      </c>
      <c r="F7191" t="str">
        <f>HYPERLINK("http://www.sec.gov/Archives/edgar/data/1333274/0001193125-16-462422-index.html")</f>
        <v>http://www.sec.gov/Archives/edgar/data/1333274/0001193125-16-462422-index.html</v>
      </c>
    </row>
    <row r="7192" spans="1:6" x14ac:dyDescent="0.2">
      <c r="A7192" t="s">
        <v>6610</v>
      </c>
      <c r="B7192" s="1">
        <v>1338749</v>
      </c>
      <c r="C7192" s="1">
        <v>6798</v>
      </c>
      <c r="D7192" s="2">
        <v>42412</v>
      </c>
      <c r="E7192" s="1" t="s">
        <v>18</v>
      </c>
      <c r="F7192" t="str">
        <f>HYPERLINK("http://www.sec.gov/Archives/edgar/data/1338749/0001338749-16-000089-index.html")</f>
        <v>http://www.sec.gov/Archives/edgar/data/1338749/0001338749-16-000089-index.html</v>
      </c>
    </row>
    <row r="7193" spans="1:6" x14ac:dyDescent="0.2">
      <c r="A7193" t="s">
        <v>6611</v>
      </c>
      <c r="B7193" s="1">
        <v>1347178</v>
      </c>
      <c r="C7193" s="1">
        <v>2834</v>
      </c>
      <c r="D7193" s="2">
        <v>42412</v>
      </c>
      <c r="E7193" s="1" t="s">
        <v>18</v>
      </c>
      <c r="F7193" t="str">
        <f>HYPERLINK("http://www.sec.gov/Archives/edgar/data/1347178/0001193125-16-461076-index.html")</f>
        <v>http://www.sec.gov/Archives/edgar/data/1347178/0001193125-16-461076-index.html</v>
      </c>
    </row>
    <row r="7194" spans="1:6" x14ac:dyDescent="0.2">
      <c r="A7194" t="s">
        <v>6612</v>
      </c>
      <c r="B7194" s="1">
        <v>1361113</v>
      </c>
      <c r="C7194" s="1">
        <v>7372</v>
      </c>
      <c r="D7194" s="2">
        <v>42412</v>
      </c>
      <c r="E7194" s="1" t="s">
        <v>18</v>
      </c>
      <c r="F7194" t="str">
        <f>HYPERLINK("http://www.sec.gov/Archives/edgar/data/1361113/0001171843-16-007861-index.html")</f>
        <v>http://www.sec.gov/Archives/edgar/data/1361113/0001171843-16-007861-index.html</v>
      </c>
    </row>
    <row r="7195" spans="1:6" x14ac:dyDescent="0.2">
      <c r="A7195" t="s">
        <v>6613</v>
      </c>
      <c r="B7195" s="1">
        <v>1361658</v>
      </c>
      <c r="C7195" s="1">
        <v>7011</v>
      </c>
      <c r="D7195" s="2">
        <v>42412</v>
      </c>
      <c r="E7195" s="1" t="s">
        <v>18</v>
      </c>
      <c r="F7195" t="str">
        <f>HYPERLINK("http://www.sec.gov/Archives/edgar/data/1361658/0001361658-16-000028-index.html")</f>
        <v>http://www.sec.gov/Archives/edgar/data/1361658/0001361658-16-000028-index.html</v>
      </c>
    </row>
    <row r="7196" spans="1:6" x14ac:dyDescent="0.2">
      <c r="A7196" t="s">
        <v>6614</v>
      </c>
      <c r="B7196" s="1">
        <v>1364885</v>
      </c>
      <c r="C7196" s="1">
        <v>3728</v>
      </c>
      <c r="D7196" s="2">
        <v>42412</v>
      </c>
      <c r="E7196" s="1" t="s">
        <v>18</v>
      </c>
      <c r="F7196" t="str">
        <f>HYPERLINK("http://www.sec.gov/Archives/edgar/data/1364885/0001628280-16-011138-index.html")</f>
        <v>http://www.sec.gov/Archives/edgar/data/1364885/0001628280-16-011138-index.html</v>
      </c>
    </row>
    <row r="7197" spans="1:6" x14ac:dyDescent="0.2">
      <c r="A7197" t="s">
        <v>1553</v>
      </c>
      <c r="B7197" s="1">
        <v>1377013</v>
      </c>
      <c r="C7197" s="1">
        <v>4841</v>
      </c>
      <c r="D7197" s="2">
        <v>42412</v>
      </c>
      <c r="E7197" s="1" t="s">
        <v>18</v>
      </c>
      <c r="F7197" t="str">
        <f>HYPERLINK("http://www.sec.gov/Archives/edgar/data/1377013/0001193125-16-461316-index.html")</f>
        <v>http://www.sec.gov/Archives/edgar/data/1377013/0001193125-16-461316-index.html</v>
      </c>
    </row>
    <row r="7198" spans="1:6" x14ac:dyDescent="0.2">
      <c r="A7198" t="s">
        <v>6615</v>
      </c>
      <c r="B7198" s="1">
        <v>1408075</v>
      </c>
      <c r="C7198" s="1">
        <v>2650</v>
      </c>
      <c r="D7198" s="2">
        <v>42412</v>
      </c>
      <c r="E7198" s="1" t="s">
        <v>18</v>
      </c>
      <c r="F7198" t="str">
        <f>HYPERLINK("http://www.sec.gov/Archives/edgar/data/1408075/0001408075-16-000053-index.html")</f>
        <v>http://www.sec.gov/Archives/edgar/data/1408075/0001408075-16-000053-index.html</v>
      </c>
    </row>
    <row r="7199" spans="1:6" x14ac:dyDescent="0.2">
      <c r="A7199" t="s">
        <v>6616</v>
      </c>
      <c r="B7199" s="1">
        <v>1410384</v>
      </c>
      <c r="C7199" s="1">
        <v>7372</v>
      </c>
      <c r="D7199" s="2">
        <v>42412</v>
      </c>
      <c r="E7199" s="1" t="s">
        <v>18</v>
      </c>
      <c r="F7199" t="str">
        <f>HYPERLINK("http://www.sec.gov/Archives/edgar/data/1410384/0001410384-16-000173-index.html")</f>
        <v>http://www.sec.gov/Archives/edgar/data/1410384/0001410384-16-000173-index.html</v>
      </c>
    </row>
    <row r="7200" spans="1:6" x14ac:dyDescent="0.2">
      <c r="A7200" t="s">
        <v>6617</v>
      </c>
      <c r="B7200" s="1">
        <v>14272</v>
      </c>
      <c r="C7200" s="1">
        <v>2834</v>
      </c>
      <c r="D7200" s="2">
        <v>42412</v>
      </c>
      <c r="E7200" s="1" t="s">
        <v>18</v>
      </c>
      <c r="F7200" t="str">
        <f>HYPERLINK("http://www.sec.gov/Archives/edgar/data/14272/0000014272-16-000288-index.html")</f>
        <v>http://www.sec.gov/Archives/edgar/data/14272/0000014272-16-000288-index.html</v>
      </c>
    </row>
    <row r="7201" spans="1:6" x14ac:dyDescent="0.2">
      <c r="A7201" t="s">
        <v>6618</v>
      </c>
      <c r="B7201" s="1">
        <v>1466258</v>
      </c>
      <c r="C7201" s="1">
        <v>3822</v>
      </c>
      <c r="D7201" s="2">
        <v>42412</v>
      </c>
      <c r="E7201" s="1" t="s">
        <v>18</v>
      </c>
      <c r="F7201" t="str">
        <f>HYPERLINK("http://www.sec.gov/Archives/edgar/data/1466258/0001466258-16-000319-index.html")</f>
        <v>http://www.sec.gov/Archives/edgar/data/1466258/0001466258-16-000319-index.html</v>
      </c>
    </row>
    <row r="7202" spans="1:6" x14ac:dyDescent="0.2">
      <c r="A7202" t="s">
        <v>6619</v>
      </c>
      <c r="B7202" s="1">
        <v>1490281</v>
      </c>
      <c r="C7202" s="1">
        <v>7311</v>
      </c>
      <c r="D7202" s="2">
        <v>42412</v>
      </c>
      <c r="E7202" s="1" t="s">
        <v>18</v>
      </c>
      <c r="F7202" t="str">
        <f>HYPERLINK("http://www.sec.gov/Archives/edgar/data/1490281/0001490281-16-000087-index.html")</f>
        <v>http://www.sec.gov/Archives/edgar/data/1490281/0001490281-16-000087-index.html</v>
      </c>
    </row>
    <row r="7203" spans="1:6" x14ac:dyDescent="0.2">
      <c r="A7203" t="s">
        <v>6620</v>
      </c>
      <c r="B7203" s="1">
        <v>1490892</v>
      </c>
      <c r="C7203" s="1">
        <v>6798</v>
      </c>
      <c r="D7203" s="2">
        <v>42412</v>
      </c>
      <c r="E7203" s="1" t="s">
        <v>18</v>
      </c>
      <c r="F7203" t="str">
        <f>HYPERLINK("http://www.sec.gov/Archives/edgar/data/1490892/0001047469-16-010126-index.html")</f>
        <v>http://www.sec.gov/Archives/edgar/data/1490892/0001047469-16-010126-index.html</v>
      </c>
    </row>
    <row r="7204" spans="1:6" x14ac:dyDescent="0.2">
      <c r="A7204" t="s">
        <v>6621</v>
      </c>
      <c r="B7204" s="1">
        <v>1493976</v>
      </c>
      <c r="C7204" s="1">
        <v>6798</v>
      </c>
      <c r="D7204" s="2">
        <v>42412</v>
      </c>
      <c r="E7204" s="1" t="s">
        <v>18</v>
      </c>
      <c r="F7204" t="str">
        <f>HYPERLINK("http://www.sec.gov/Archives/edgar/data/1493976/0001025996-16-000298-index.html")</f>
        <v>http://www.sec.gov/Archives/edgar/data/1493976/0001025996-16-000298-index.html</v>
      </c>
    </row>
    <row r="7205" spans="1:6" x14ac:dyDescent="0.2">
      <c r="A7205" t="s">
        <v>6622</v>
      </c>
      <c r="B7205" s="1">
        <v>1506742</v>
      </c>
      <c r="C7205" s="1">
        <v>1311</v>
      </c>
      <c r="D7205" s="2">
        <v>42412</v>
      </c>
      <c r="E7205" s="1" t="s">
        <v>18</v>
      </c>
      <c r="F7205" t="str">
        <f>HYPERLINK("http://www.sec.gov/Archives/edgar/data/1506742/0001580695-16-000233-index.html")</f>
        <v>http://www.sec.gov/Archives/edgar/data/1506742/0001580695-16-000233-index.html</v>
      </c>
    </row>
    <row r="7206" spans="1:6" x14ac:dyDescent="0.2">
      <c r="A7206" t="s">
        <v>6623</v>
      </c>
      <c r="B7206" s="1">
        <v>1572910</v>
      </c>
      <c r="C7206" s="1">
        <v>4610</v>
      </c>
      <c r="D7206" s="2">
        <v>42412</v>
      </c>
      <c r="E7206" s="1" t="s">
        <v>18</v>
      </c>
      <c r="F7206" t="str">
        <f>HYPERLINK("http://www.sec.gov/Archives/edgar/data/1572910/0001572910-16-000075-index.html")</f>
        <v>http://www.sec.gov/Archives/edgar/data/1572910/0001572910-16-000075-index.html</v>
      </c>
    </row>
    <row r="7207" spans="1:6" x14ac:dyDescent="0.2">
      <c r="A7207" t="s">
        <v>6624</v>
      </c>
      <c r="B7207" s="1">
        <v>1611983</v>
      </c>
      <c r="C7207" s="1">
        <v>4841</v>
      </c>
      <c r="D7207" s="2">
        <v>42412</v>
      </c>
      <c r="E7207" s="1" t="s">
        <v>18</v>
      </c>
      <c r="F7207" t="str">
        <f>HYPERLINK("http://www.sec.gov/Archives/edgar/data/1611983/0001558370-16-003202-index.html")</f>
        <v>http://www.sec.gov/Archives/edgar/data/1611983/0001558370-16-003202-index.html</v>
      </c>
    </row>
    <row r="7208" spans="1:6" x14ac:dyDescent="0.2">
      <c r="A7208" t="s">
        <v>6625</v>
      </c>
      <c r="B7208" s="1">
        <v>1617640</v>
      </c>
      <c r="C7208" s="1">
        <v>7389</v>
      </c>
      <c r="D7208" s="2">
        <v>42412</v>
      </c>
      <c r="E7208" s="1" t="s">
        <v>18</v>
      </c>
      <c r="F7208" t="str">
        <f>HYPERLINK("http://www.sec.gov/Archives/edgar/data/1617640/0001193125-16-461241-index.html")</f>
        <v>http://www.sec.gov/Archives/edgar/data/1617640/0001193125-16-461241-index.html</v>
      </c>
    </row>
    <row r="7209" spans="1:6" x14ac:dyDescent="0.2">
      <c r="A7209" t="s">
        <v>6626</v>
      </c>
      <c r="B7209" s="1">
        <v>1641991</v>
      </c>
      <c r="C7209" s="1">
        <v>3540</v>
      </c>
      <c r="D7209" s="2">
        <v>42412</v>
      </c>
      <c r="E7209" s="1" t="s">
        <v>18</v>
      </c>
      <c r="F7209" t="str">
        <f>HYPERLINK("http://www.sec.gov/Archives/edgar/data/1641991/0001641991-16-000021-index.html")</f>
        <v>http://www.sec.gov/Archives/edgar/data/1641991/0001641991-16-000021-index.html</v>
      </c>
    </row>
    <row r="7210" spans="1:6" x14ac:dyDescent="0.2">
      <c r="A7210" t="s">
        <v>6627</v>
      </c>
      <c r="B7210" s="1">
        <v>24741</v>
      </c>
      <c r="C7210" s="1">
        <v>3357</v>
      </c>
      <c r="D7210" s="2">
        <v>42412</v>
      </c>
      <c r="E7210" s="1" t="s">
        <v>18</v>
      </c>
      <c r="F7210" t="str">
        <f>HYPERLINK("http://www.sec.gov/Archives/edgar/data/24741/0000024741-16-000077-index.html")</f>
        <v>http://www.sec.gov/Archives/edgar/data/24741/0000024741-16-000077-index.html</v>
      </c>
    </row>
    <row r="7211" spans="1:6" x14ac:dyDescent="0.2">
      <c r="A7211" t="s">
        <v>6628</v>
      </c>
      <c r="B7211" s="1">
        <v>26172</v>
      </c>
      <c r="C7211" s="1">
        <v>3510</v>
      </c>
      <c r="D7211" s="2">
        <v>42412</v>
      </c>
      <c r="E7211" s="1" t="s">
        <v>18</v>
      </c>
      <c r="F7211" t="str">
        <f>HYPERLINK("http://www.sec.gov/Archives/edgar/data/26172/0000026172-16-000033-index.html")</f>
        <v>http://www.sec.gov/Archives/edgar/data/26172/0000026172-16-000033-index.html</v>
      </c>
    </row>
    <row r="7212" spans="1:6" x14ac:dyDescent="0.2">
      <c r="A7212" t="s">
        <v>6629</v>
      </c>
      <c r="B7212" s="1">
        <v>29905</v>
      </c>
      <c r="C7212" s="1">
        <v>3530</v>
      </c>
      <c r="D7212" s="2">
        <v>42412</v>
      </c>
      <c r="E7212" s="1" t="s">
        <v>18</v>
      </c>
      <c r="F7212" t="str">
        <f>HYPERLINK("http://www.sec.gov/Archives/edgar/data/29905/0000029905-16-000064-index.html")</f>
        <v>http://www.sec.gov/Archives/edgar/data/29905/0000029905-16-000064-index.html</v>
      </c>
    </row>
    <row r="7213" spans="1:6" x14ac:dyDescent="0.2">
      <c r="A7213" t="s">
        <v>6630</v>
      </c>
      <c r="B7213" s="1">
        <v>29915</v>
      </c>
      <c r="C7213" s="1">
        <v>2821</v>
      </c>
      <c r="D7213" s="2">
        <v>42412</v>
      </c>
      <c r="E7213" s="1" t="s">
        <v>18</v>
      </c>
      <c r="F7213" t="str">
        <f>HYPERLINK("http://www.sec.gov/Archives/edgar/data/29915/0000029915-16-000066-index.html")</f>
        <v>http://www.sec.gov/Archives/edgar/data/29915/0000029915-16-000066-index.html</v>
      </c>
    </row>
    <row r="7214" spans="1:6" x14ac:dyDescent="0.2">
      <c r="A7214" t="s">
        <v>6631</v>
      </c>
      <c r="B7214" s="1">
        <v>49826</v>
      </c>
      <c r="C7214" s="1">
        <v>3560</v>
      </c>
      <c r="D7214" s="2">
        <v>42412</v>
      </c>
      <c r="E7214" s="1" t="s">
        <v>18</v>
      </c>
      <c r="F7214" t="str">
        <f>HYPERLINK("http://www.sec.gov/Archives/edgar/data/49826/0000049826-16-000151-index.html")</f>
        <v>http://www.sec.gov/Archives/edgar/data/49826/0000049826-16-000151-index.html</v>
      </c>
    </row>
    <row r="7215" spans="1:6" x14ac:dyDescent="0.2">
      <c r="A7215" t="s">
        <v>6632</v>
      </c>
      <c r="B7215" s="1">
        <v>50863</v>
      </c>
      <c r="C7215" s="1">
        <v>3674</v>
      </c>
      <c r="D7215" s="2">
        <v>42412</v>
      </c>
      <c r="E7215" s="1" t="s">
        <v>18</v>
      </c>
      <c r="F7215" t="str">
        <f>HYPERLINK("http://www.sec.gov/Archives/edgar/data/50863/0000050863-16-000105-index.html")</f>
        <v>http://www.sec.gov/Archives/edgar/data/50863/0000050863-16-000105-index.html</v>
      </c>
    </row>
    <row r="7216" spans="1:6" x14ac:dyDescent="0.2">
      <c r="A7216" t="s">
        <v>6633</v>
      </c>
      <c r="B7216" s="1">
        <v>62996</v>
      </c>
      <c r="C7216" s="1">
        <v>2430</v>
      </c>
      <c r="D7216" s="2">
        <v>42412</v>
      </c>
      <c r="E7216" s="1" t="s">
        <v>18</v>
      </c>
      <c r="F7216" t="str">
        <f>HYPERLINK("http://www.sec.gov/Archives/edgar/data/62996/0001047469-16-010135-index.html")</f>
        <v>http://www.sec.gov/Archives/edgar/data/62996/0001047469-16-010135-index.html</v>
      </c>
    </row>
    <row r="7217" spans="1:6" x14ac:dyDescent="0.2">
      <c r="A7217" t="s">
        <v>6634</v>
      </c>
      <c r="B7217" s="1">
        <v>64040</v>
      </c>
      <c r="C7217" s="1">
        <v>7320</v>
      </c>
      <c r="D7217" s="2">
        <v>42412</v>
      </c>
      <c r="E7217" s="1" t="s">
        <v>18</v>
      </c>
      <c r="F7217" t="str">
        <f>HYPERLINK("http://www.sec.gov/Archives/edgar/data/64040/0000064040-16-000042-index.html")</f>
        <v>http://www.sec.gov/Archives/edgar/data/64040/0000064040-16-000042-index.html</v>
      </c>
    </row>
    <row r="7218" spans="1:6" x14ac:dyDescent="0.2">
      <c r="A7218" t="s">
        <v>6635</v>
      </c>
      <c r="B7218" s="1">
        <v>740260</v>
      </c>
      <c r="C7218" s="1">
        <v>6798</v>
      </c>
      <c r="D7218" s="2">
        <v>42412</v>
      </c>
      <c r="E7218" s="1" t="s">
        <v>18</v>
      </c>
      <c r="F7218" t="str">
        <f>HYPERLINK("http://www.sec.gov/Archives/edgar/data/740260/0000740260-16-000201-index.html")</f>
        <v>http://www.sec.gov/Archives/edgar/data/740260/0000740260-16-000201-index.html</v>
      </c>
    </row>
    <row r="7219" spans="1:6" x14ac:dyDescent="0.2">
      <c r="A7219" t="s">
        <v>6636</v>
      </c>
      <c r="B7219" s="1">
        <v>751364</v>
      </c>
      <c r="C7219" s="1">
        <v>6798</v>
      </c>
      <c r="D7219" s="2">
        <v>42412</v>
      </c>
      <c r="E7219" s="1" t="s">
        <v>18</v>
      </c>
      <c r="F7219" t="str">
        <f>HYPERLINK("http://www.sec.gov/Archives/edgar/data/751364/0000751364-16-000103-index.html")</f>
        <v>http://www.sec.gov/Archives/edgar/data/751364/0000751364-16-000103-index.html</v>
      </c>
    </row>
    <row r="7220" spans="1:6" x14ac:dyDescent="0.2">
      <c r="A7220" t="s">
        <v>6637</v>
      </c>
      <c r="B7220" s="1">
        <v>773840</v>
      </c>
      <c r="C7220" s="1">
        <v>3714</v>
      </c>
      <c r="D7220" s="2">
        <v>42412</v>
      </c>
      <c r="E7220" s="1" t="s">
        <v>18</v>
      </c>
      <c r="F7220" t="str">
        <f>HYPERLINK("http://www.sec.gov/Archives/edgar/data/773840/0000930413-16-005457-index.html")</f>
        <v>http://www.sec.gov/Archives/edgar/data/773840/0000930413-16-005457-index.html</v>
      </c>
    </row>
    <row r="7221" spans="1:6" x14ac:dyDescent="0.2">
      <c r="A7221" t="s">
        <v>6638</v>
      </c>
      <c r="B7221" s="1">
        <v>784977</v>
      </c>
      <c r="C7221" s="1">
        <v>4911</v>
      </c>
      <c r="D7221" s="2">
        <v>42412</v>
      </c>
      <c r="E7221" s="1" t="s">
        <v>18</v>
      </c>
      <c r="F7221" t="str">
        <f>HYPERLINK("http://www.sec.gov/Archives/edgar/data/784977/0000784977-16-000067-index.html")</f>
        <v>http://www.sec.gov/Archives/edgar/data/784977/0000784977-16-000067-index.html</v>
      </c>
    </row>
    <row r="7222" spans="1:6" x14ac:dyDescent="0.2">
      <c r="A7222" t="s">
        <v>6639</v>
      </c>
      <c r="B7222" s="1">
        <v>793547</v>
      </c>
      <c r="C7222" s="1">
        <v>6331</v>
      </c>
      <c r="D7222" s="2">
        <v>42412</v>
      </c>
      <c r="E7222" s="1" t="s">
        <v>18</v>
      </c>
      <c r="F7222" t="str">
        <f>HYPERLINK("http://www.sec.gov/Archives/edgar/data/793547/0001564590-16-012702-index.html")</f>
        <v>http://www.sec.gov/Archives/edgar/data/793547/0001564590-16-012702-index.html</v>
      </c>
    </row>
    <row r="7223" spans="1:6" x14ac:dyDescent="0.2">
      <c r="A7223" t="s">
        <v>6640</v>
      </c>
      <c r="B7223" s="1">
        <v>802481</v>
      </c>
      <c r="C7223" s="1">
        <v>2015</v>
      </c>
      <c r="D7223" s="2">
        <v>42412</v>
      </c>
      <c r="E7223" s="1" t="s">
        <v>18</v>
      </c>
      <c r="F7223" t="str">
        <f>HYPERLINK("http://www.sec.gov/Archives/edgar/data/802481/0001628280-16-011068-index.html")</f>
        <v>http://www.sec.gov/Archives/edgar/data/802481/0001628280-16-011068-index.html</v>
      </c>
    </row>
    <row r="7224" spans="1:6" x14ac:dyDescent="0.2">
      <c r="A7224" t="s">
        <v>6641</v>
      </c>
      <c r="B7224" s="1">
        <v>818479</v>
      </c>
      <c r="C7224" s="1">
        <v>3843</v>
      </c>
      <c r="D7224" s="2">
        <v>42412</v>
      </c>
      <c r="E7224" s="1" t="s">
        <v>18</v>
      </c>
      <c r="F7224" t="str">
        <f>HYPERLINK("http://www.sec.gov/Archives/edgar/data/818479/0000818479-16-000056-index.html")</f>
        <v>http://www.sec.gov/Archives/edgar/data/818479/0000818479-16-000056-index.html</v>
      </c>
    </row>
    <row r="7225" spans="1:6" x14ac:dyDescent="0.2">
      <c r="A7225" t="s">
        <v>6642</v>
      </c>
      <c r="B7225" s="1">
        <v>829323</v>
      </c>
      <c r="C7225" s="1">
        <v>7310</v>
      </c>
      <c r="D7225" s="2">
        <v>42412</v>
      </c>
      <c r="E7225" s="1" t="s">
        <v>18</v>
      </c>
      <c r="F7225" t="str">
        <f>HYPERLINK("http://www.sec.gov/Archives/edgar/data/829323/0000829323-16-000064-index.html")</f>
        <v>http://www.sec.gov/Archives/edgar/data/829323/0000829323-16-000064-index.html</v>
      </c>
    </row>
    <row r="7226" spans="1:6" x14ac:dyDescent="0.2">
      <c r="A7226" t="s">
        <v>6643</v>
      </c>
      <c r="B7226" s="1">
        <v>85961</v>
      </c>
      <c r="C7226" s="1">
        <v>7510</v>
      </c>
      <c r="D7226" s="2">
        <v>42412</v>
      </c>
      <c r="E7226" s="1" t="s">
        <v>18</v>
      </c>
      <c r="F7226" t="str">
        <f>HYPERLINK("http://www.sec.gov/Archives/edgar/data/85961/0000085961-16-000079-index.html")</f>
        <v>http://www.sec.gov/Archives/edgar/data/85961/0000085961-16-000079-index.html</v>
      </c>
    </row>
    <row r="7227" spans="1:6" x14ac:dyDescent="0.2">
      <c r="A7227" t="s">
        <v>6644</v>
      </c>
      <c r="B7227" s="1">
        <v>860748</v>
      </c>
      <c r="C7227" s="1">
        <v>6331</v>
      </c>
      <c r="D7227" s="2">
        <v>42412</v>
      </c>
      <c r="E7227" s="1" t="s">
        <v>18</v>
      </c>
      <c r="F7227" t="str">
        <f>HYPERLINK("http://www.sec.gov/Archives/edgar/data/860748/0000860748-16-000146-index.html")</f>
        <v>http://www.sec.gov/Archives/edgar/data/860748/0000860748-16-000146-index.html</v>
      </c>
    </row>
    <row r="7228" spans="1:6" x14ac:dyDescent="0.2">
      <c r="A7228" t="s">
        <v>3751</v>
      </c>
      <c r="B7228" s="1">
        <v>879169</v>
      </c>
      <c r="C7228" s="1">
        <v>8731</v>
      </c>
      <c r="D7228" s="2">
        <v>42412</v>
      </c>
      <c r="E7228" s="1" t="s">
        <v>18</v>
      </c>
      <c r="F7228" t="str">
        <f>HYPERLINK("http://www.sec.gov/Archives/edgar/data/879169/0001558370-16-003196-index.html")</f>
        <v>http://www.sec.gov/Archives/edgar/data/879169/0001558370-16-003196-index.html</v>
      </c>
    </row>
    <row r="7229" spans="1:6" x14ac:dyDescent="0.2">
      <c r="A7229" t="s">
        <v>6645</v>
      </c>
      <c r="B7229" s="1">
        <v>885550</v>
      </c>
      <c r="C7229" s="1">
        <v>6141</v>
      </c>
      <c r="D7229" s="2">
        <v>42412</v>
      </c>
      <c r="E7229" s="1" t="s">
        <v>18</v>
      </c>
      <c r="F7229" t="str">
        <f>HYPERLINK("http://www.sec.gov/Archives/edgar/data/885550/0000885550-16-000083-index.html")</f>
        <v>http://www.sec.gov/Archives/edgar/data/885550/0000885550-16-000083-index.html</v>
      </c>
    </row>
    <row r="7230" spans="1:6" x14ac:dyDescent="0.2">
      <c r="A7230" t="s">
        <v>6646</v>
      </c>
      <c r="B7230" s="1">
        <v>916457</v>
      </c>
      <c r="C7230" s="1">
        <v>4911</v>
      </c>
      <c r="D7230" s="2">
        <v>42412</v>
      </c>
      <c r="E7230" s="1" t="s">
        <v>18</v>
      </c>
      <c r="F7230" t="str">
        <f>HYPERLINK("http://www.sec.gov/Archives/edgar/data/916457/0000916457-16-000057-index.html")</f>
        <v>http://www.sec.gov/Archives/edgar/data/916457/0000916457-16-000057-index.html</v>
      </c>
    </row>
    <row r="7231" spans="1:6" x14ac:dyDescent="0.2">
      <c r="A7231" t="s">
        <v>6647</v>
      </c>
      <c r="B7231" s="1">
        <v>9892</v>
      </c>
      <c r="C7231" s="1">
        <v>3841</v>
      </c>
      <c r="D7231" s="2">
        <v>42412</v>
      </c>
      <c r="E7231" s="1" t="s">
        <v>18</v>
      </c>
      <c r="F7231" t="str">
        <f>HYPERLINK("http://www.sec.gov/Archives/edgar/data/9892/0001193125-16-461749-index.html")</f>
        <v>http://www.sec.gov/Archives/edgar/data/9892/0001193125-16-461749-index.html</v>
      </c>
    </row>
    <row r="7232" spans="1:6" x14ac:dyDescent="0.2">
      <c r="A7232" t="s">
        <v>6648</v>
      </c>
      <c r="B7232" s="1">
        <v>1004155</v>
      </c>
      <c r="C7232" s="1">
        <v>4924</v>
      </c>
      <c r="D7232" s="2">
        <v>42411</v>
      </c>
      <c r="E7232" s="1" t="s">
        <v>18</v>
      </c>
      <c r="F7232" t="str">
        <f>HYPERLINK("http://www.sec.gov/Archives/edgar/data/1004155/0001004155-16-000098-index.html")</f>
        <v>http://www.sec.gov/Archives/edgar/data/1004155/0001004155-16-000098-index.html</v>
      </c>
    </row>
    <row r="7233" spans="1:6" x14ac:dyDescent="0.2">
      <c r="A7233" t="s">
        <v>6649</v>
      </c>
      <c r="B7233" s="1">
        <v>101829</v>
      </c>
      <c r="C7233" s="1">
        <v>3724</v>
      </c>
      <c r="D7233" s="2">
        <v>42411</v>
      </c>
      <c r="E7233" s="1" t="s">
        <v>18</v>
      </c>
      <c r="F7233" t="str">
        <f>HYPERLINK("http://www.sec.gov/Archives/edgar/data/101829/0000101829-16-000050-index.html")</f>
        <v>http://www.sec.gov/Archives/edgar/data/101829/0000101829-16-000050-index.html</v>
      </c>
    </row>
    <row r="7234" spans="1:6" x14ac:dyDescent="0.2">
      <c r="A7234" t="s">
        <v>6650</v>
      </c>
      <c r="B7234" s="1">
        <v>1020416</v>
      </c>
      <c r="C7234" s="1">
        <v>7363</v>
      </c>
      <c r="D7234" s="2">
        <v>42411</v>
      </c>
      <c r="E7234" s="1" t="s">
        <v>18</v>
      </c>
      <c r="F7234" t="str">
        <f>HYPERLINK("http://www.sec.gov/Archives/edgar/data/1020416/0001020416-16-000126-index.html")</f>
        <v>http://www.sec.gov/Archives/edgar/data/1020416/0001020416-16-000126-index.html</v>
      </c>
    </row>
    <row r="7235" spans="1:6" x14ac:dyDescent="0.2">
      <c r="A7235" t="s">
        <v>6651</v>
      </c>
      <c r="B7235" s="1">
        <v>1054721</v>
      </c>
      <c r="C7235" s="1">
        <v>7389</v>
      </c>
      <c r="D7235" s="2">
        <v>42411</v>
      </c>
      <c r="E7235" s="1" t="s">
        <v>18</v>
      </c>
      <c r="F7235" t="str">
        <f>HYPERLINK("http://www.sec.gov/Archives/edgar/data/1054721/0001564590-16-012659-index.html")</f>
        <v>http://www.sec.gov/Archives/edgar/data/1054721/0001564590-16-012659-index.html</v>
      </c>
    </row>
    <row r="7236" spans="1:6" x14ac:dyDescent="0.2">
      <c r="A7236" t="s">
        <v>6652</v>
      </c>
      <c r="B7236" s="1">
        <v>1109448</v>
      </c>
      <c r="C7236" s="1">
        <v>6282</v>
      </c>
      <c r="D7236" s="2">
        <v>42411</v>
      </c>
      <c r="E7236" s="1" t="s">
        <v>18</v>
      </c>
      <c r="F7236" t="str">
        <f>HYPERLINK("http://www.sec.gov/Archives/edgar/data/1109448/0001109448-16-000048-index.html")</f>
        <v>http://www.sec.gov/Archives/edgar/data/1109448/0001109448-16-000048-index.html</v>
      </c>
    </row>
    <row r="7237" spans="1:6" x14ac:dyDescent="0.2">
      <c r="A7237" t="s">
        <v>6653</v>
      </c>
      <c r="B7237" s="1">
        <v>1142596</v>
      </c>
      <c r="C7237" s="1">
        <v>3841</v>
      </c>
      <c r="D7237" s="2">
        <v>42411</v>
      </c>
      <c r="E7237" s="1" t="s">
        <v>18</v>
      </c>
      <c r="F7237" t="str">
        <f>HYPERLINK("http://www.sec.gov/Archives/edgar/data/1142596/0001564590-16-012671-index.html")</f>
        <v>http://www.sec.gov/Archives/edgar/data/1142596/0001564590-16-012671-index.html</v>
      </c>
    </row>
    <row r="7238" spans="1:6" x14ac:dyDescent="0.2">
      <c r="A7238" t="s">
        <v>6654</v>
      </c>
      <c r="B7238" s="1">
        <v>1252849</v>
      </c>
      <c r="C7238" s="1">
        <v>6798</v>
      </c>
      <c r="D7238" s="2">
        <v>42411</v>
      </c>
      <c r="E7238" s="1" t="s">
        <v>18</v>
      </c>
      <c r="F7238" t="str">
        <f>HYPERLINK("http://www.sec.gov/Archives/edgar/data/1252849/0001252849-16-000191-index.html")</f>
        <v>http://www.sec.gov/Archives/edgar/data/1252849/0001252849-16-000191-index.html</v>
      </c>
    </row>
    <row r="7239" spans="1:6" x14ac:dyDescent="0.2">
      <c r="A7239" t="s">
        <v>6655</v>
      </c>
      <c r="B7239" s="1">
        <v>1275283</v>
      </c>
      <c r="C7239" s="1">
        <v>2111</v>
      </c>
      <c r="D7239" s="2">
        <v>42411</v>
      </c>
      <c r="E7239" s="1" t="s">
        <v>18</v>
      </c>
      <c r="F7239" t="str">
        <f>HYPERLINK("http://www.sec.gov/Archives/edgar/data/1275283/0001564590-16-012630-index.html")</f>
        <v>http://www.sec.gov/Archives/edgar/data/1275283/0001564590-16-012630-index.html</v>
      </c>
    </row>
    <row r="7240" spans="1:6" x14ac:dyDescent="0.2">
      <c r="A7240" t="s">
        <v>2682</v>
      </c>
      <c r="B7240" s="1">
        <v>1288776</v>
      </c>
      <c r="C7240" s="1">
        <v>7370</v>
      </c>
      <c r="D7240" s="2">
        <v>42411</v>
      </c>
      <c r="E7240" s="1" t="s">
        <v>18</v>
      </c>
      <c r="F7240" t="str">
        <f>HYPERLINK("http://www.sec.gov/Archives/edgar/data/1288776/0001652044-16-000012-index.html")</f>
        <v>http://www.sec.gov/Archives/edgar/data/1288776/0001652044-16-000012-index.html</v>
      </c>
    </row>
    <row r="7241" spans="1:6" x14ac:dyDescent="0.2">
      <c r="A7241" t="s">
        <v>6656</v>
      </c>
      <c r="B7241" s="1">
        <v>1324424</v>
      </c>
      <c r="C7241" s="1">
        <v>4700</v>
      </c>
      <c r="D7241" s="2">
        <v>42411</v>
      </c>
      <c r="E7241" s="1" t="s">
        <v>18</v>
      </c>
      <c r="F7241" t="str">
        <f>HYPERLINK("http://www.sec.gov/Archives/edgar/data/1324424/0001193125-16-457822-index.html")</f>
        <v>http://www.sec.gov/Archives/edgar/data/1324424/0001193125-16-457822-index.html</v>
      </c>
    </row>
    <row r="7242" spans="1:6" x14ac:dyDescent="0.2">
      <c r="A7242" t="s">
        <v>6657</v>
      </c>
      <c r="B7242" s="1">
        <v>1333170</v>
      </c>
      <c r="C7242" s="1">
        <v>3845</v>
      </c>
      <c r="D7242" s="2">
        <v>42411</v>
      </c>
      <c r="E7242" s="1" t="s">
        <v>18</v>
      </c>
      <c r="F7242" t="str">
        <f>HYPERLINK("http://www.sec.gov/Archives/edgar/data/1333170/0001333170-16-000025-index.html")</f>
        <v>http://www.sec.gov/Archives/edgar/data/1333170/0001333170-16-000025-index.html</v>
      </c>
    </row>
    <row r="7243" spans="1:6" x14ac:dyDescent="0.2">
      <c r="A7243" t="s">
        <v>6658</v>
      </c>
      <c r="B7243" s="1">
        <v>1362988</v>
      </c>
      <c r="C7243" s="1">
        <v>7359</v>
      </c>
      <c r="D7243" s="2">
        <v>42411</v>
      </c>
      <c r="E7243" s="1" t="s">
        <v>18</v>
      </c>
      <c r="F7243" t="str">
        <f>HYPERLINK("http://www.sec.gov/Archives/edgar/data/1362988/0001362988-16-000016-index.html")</f>
        <v>http://www.sec.gov/Archives/edgar/data/1362988/0001362988-16-000016-index.html</v>
      </c>
    </row>
    <row r="7244" spans="1:6" x14ac:dyDescent="0.2">
      <c r="A7244" t="s">
        <v>6659</v>
      </c>
      <c r="B7244" s="1">
        <v>1390844</v>
      </c>
      <c r="C7244" s="1">
        <v>3711</v>
      </c>
      <c r="D7244" s="2">
        <v>42411</v>
      </c>
      <c r="E7244" s="1" t="s">
        <v>18</v>
      </c>
      <c r="F7244" t="str">
        <f>HYPERLINK("http://www.sec.gov/Archives/edgar/data/1390844/0001390844-16-000017-index.html")</f>
        <v>http://www.sec.gov/Archives/edgar/data/1390844/0001390844-16-000017-index.html</v>
      </c>
    </row>
    <row r="7245" spans="1:6" x14ac:dyDescent="0.2">
      <c r="A7245" t="s">
        <v>6660</v>
      </c>
      <c r="B7245" s="1">
        <v>1391127</v>
      </c>
      <c r="C7245" s="1">
        <v>7389</v>
      </c>
      <c r="D7245" s="2">
        <v>42411</v>
      </c>
      <c r="E7245" s="1" t="s">
        <v>18</v>
      </c>
      <c r="F7245" t="str">
        <f>HYPERLINK("http://www.sec.gov/Archives/edgar/data/1391127/0001391127-16-000172-index.html")</f>
        <v>http://www.sec.gov/Archives/edgar/data/1391127/0001391127-16-000172-index.html</v>
      </c>
    </row>
    <row r="7246" spans="1:6" x14ac:dyDescent="0.2">
      <c r="A7246" t="s">
        <v>6661</v>
      </c>
      <c r="B7246" s="1">
        <v>1403256</v>
      </c>
      <c r="C7246" s="1">
        <v>6282</v>
      </c>
      <c r="D7246" s="2">
        <v>42411</v>
      </c>
      <c r="E7246" s="1" t="s">
        <v>18</v>
      </c>
      <c r="F7246" t="str">
        <f>HYPERLINK("http://www.sec.gov/Archives/edgar/data/1403256/0001403256-16-000197-index.html")</f>
        <v>http://www.sec.gov/Archives/edgar/data/1403256/0001403256-16-000197-index.html</v>
      </c>
    </row>
    <row r="7247" spans="1:6" x14ac:dyDescent="0.2">
      <c r="A7247" t="s">
        <v>6662</v>
      </c>
      <c r="B7247" s="1">
        <v>1424454</v>
      </c>
      <c r="C7247" s="1">
        <v>6794</v>
      </c>
      <c r="D7247" s="2">
        <v>42411</v>
      </c>
      <c r="E7247" s="1" t="s">
        <v>18</v>
      </c>
      <c r="F7247" t="str">
        <f>HYPERLINK("http://www.sec.gov/Archives/edgar/data/1424454/0001424454-16-000040-index.html")</f>
        <v>http://www.sec.gov/Archives/edgar/data/1424454/0001424454-16-000040-index.html</v>
      </c>
    </row>
    <row r="7248" spans="1:6" x14ac:dyDescent="0.2">
      <c r="A7248" t="s">
        <v>6663</v>
      </c>
      <c r="B7248" s="1">
        <v>1478242</v>
      </c>
      <c r="C7248" s="1">
        <v>8731</v>
      </c>
      <c r="D7248" s="2">
        <v>42411</v>
      </c>
      <c r="E7248" s="1" t="s">
        <v>18</v>
      </c>
      <c r="F7248" t="str">
        <f>HYPERLINK("http://www.sec.gov/Archives/edgar/data/1478242/0001564590-16-012629-index.html")</f>
        <v>http://www.sec.gov/Archives/edgar/data/1478242/0001564590-16-012629-index.html</v>
      </c>
    </row>
    <row r="7249" spans="1:6" x14ac:dyDescent="0.2">
      <c r="A7249" t="s">
        <v>6664</v>
      </c>
      <c r="B7249" s="1">
        <v>1491675</v>
      </c>
      <c r="C7249" s="1">
        <v>2086</v>
      </c>
      <c r="D7249" s="2">
        <v>42411</v>
      </c>
      <c r="E7249" s="1" t="s">
        <v>18</v>
      </c>
      <c r="F7249" t="str">
        <f>HYPERLINK("http://www.sec.gov/Archives/edgar/data/1491675/0001491675-16-000061-index.html")</f>
        <v>http://www.sec.gov/Archives/edgar/data/1491675/0001491675-16-000061-index.html</v>
      </c>
    </row>
    <row r="7250" spans="1:6" x14ac:dyDescent="0.2">
      <c r="A7250" t="s">
        <v>6665</v>
      </c>
      <c r="B7250" s="1">
        <v>1494162</v>
      </c>
      <c r="C7250" s="1">
        <v>3674</v>
      </c>
      <c r="D7250" s="2">
        <v>42411</v>
      </c>
      <c r="E7250" s="1" t="s">
        <v>18</v>
      </c>
      <c r="F7250" t="str">
        <f>HYPERLINK("http://www.sec.gov/Archives/edgar/data/1494162/0001295345-16-000435-index.html")</f>
        <v>http://www.sec.gov/Archives/edgar/data/1494162/0001295345-16-000435-index.html</v>
      </c>
    </row>
    <row r="7251" spans="1:6" x14ac:dyDescent="0.2">
      <c r="A7251" t="s">
        <v>6666</v>
      </c>
      <c r="B7251" s="1">
        <v>1502034</v>
      </c>
      <c r="C7251" s="1">
        <v>5400</v>
      </c>
      <c r="D7251" s="2">
        <v>42411</v>
      </c>
      <c r="E7251" s="1" t="s">
        <v>18</v>
      </c>
      <c r="F7251" t="str">
        <f>HYPERLINK("http://www.sec.gov/Archives/edgar/data/1502034/0001628280-16-011031-index.html")</f>
        <v>http://www.sec.gov/Archives/edgar/data/1502034/0001628280-16-011031-index.html</v>
      </c>
    </row>
    <row r="7252" spans="1:6" x14ac:dyDescent="0.2">
      <c r="A7252" t="s">
        <v>6667</v>
      </c>
      <c r="B7252" s="1">
        <v>1522727</v>
      </c>
      <c r="C7252" s="1">
        <v>4922</v>
      </c>
      <c r="D7252" s="2">
        <v>42411</v>
      </c>
      <c r="E7252" s="1" t="s">
        <v>18</v>
      </c>
      <c r="F7252" t="str">
        <f>HYPERLINK("http://www.sec.gov/Archives/edgar/data/1522727/0001558370-16-003160-index.html")</f>
        <v>http://www.sec.gov/Archives/edgar/data/1522727/0001558370-16-003160-index.html</v>
      </c>
    </row>
    <row r="7253" spans="1:6" x14ac:dyDescent="0.2">
      <c r="A7253" t="s">
        <v>6668</v>
      </c>
      <c r="B7253" s="1">
        <v>1540947</v>
      </c>
      <c r="C7253" s="1">
        <v>4922</v>
      </c>
      <c r="D7253" s="2">
        <v>42411</v>
      </c>
      <c r="E7253" s="1" t="s">
        <v>18</v>
      </c>
      <c r="F7253" t="str">
        <f>HYPERLINK("http://www.sec.gov/Archives/edgar/data/1540947/0001540947-16-000022-index.html")</f>
        <v>http://www.sec.gov/Archives/edgar/data/1540947/0001540947-16-000022-index.html</v>
      </c>
    </row>
    <row r="7254" spans="1:6" x14ac:dyDescent="0.2">
      <c r="A7254" t="s">
        <v>3535</v>
      </c>
      <c r="B7254" s="1">
        <v>1590717</v>
      </c>
      <c r="C7254" s="1">
        <v>6798</v>
      </c>
      <c r="D7254" s="2">
        <v>42411</v>
      </c>
      <c r="E7254" s="1" t="s">
        <v>18</v>
      </c>
      <c r="F7254" t="str">
        <f>HYPERLINK("http://www.sec.gov/Archives/edgar/data/1590717/0001628280-16-011018-index.html")</f>
        <v>http://www.sec.gov/Archives/edgar/data/1590717/0001628280-16-011018-index.html</v>
      </c>
    </row>
    <row r="7255" spans="1:6" x14ac:dyDescent="0.2">
      <c r="A7255" t="s">
        <v>6669</v>
      </c>
      <c r="B7255" s="1">
        <v>1632933</v>
      </c>
      <c r="C7255" s="1">
        <v>4922</v>
      </c>
      <c r="D7255" s="2">
        <v>42411</v>
      </c>
      <c r="E7255" s="1" t="s">
        <v>18</v>
      </c>
      <c r="F7255" t="str">
        <f>HYPERLINK("http://www.sec.gov/Archives/edgar/data/1632933/0001632933-16-000013-index.html")</f>
        <v>http://www.sec.gov/Archives/edgar/data/1632933/0001632933-16-000013-index.html</v>
      </c>
    </row>
    <row r="7256" spans="1:6" x14ac:dyDescent="0.2">
      <c r="A7256" t="s">
        <v>6670</v>
      </c>
      <c r="B7256" s="1">
        <v>1633917</v>
      </c>
      <c r="C7256" s="1">
        <v>7389</v>
      </c>
      <c r="D7256" s="2">
        <v>42411</v>
      </c>
      <c r="E7256" s="1" t="s">
        <v>18</v>
      </c>
      <c r="F7256" t="str">
        <f>HYPERLINK("http://www.sec.gov/Archives/edgar/data/1633917/0001633917-16-000113-index.html")</f>
        <v>http://www.sec.gov/Archives/edgar/data/1633917/0001633917-16-000113-index.html</v>
      </c>
    </row>
    <row r="7257" spans="1:6" x14ac:dyDescent="0.2">
      <c r="A7257" t="s">
        <v>2790</v>
      </c>
      <c r="B7257" s="1">
        <v>1652044</v>
      </c>
      <c r="C7257" s="1">
        <v>7370</v>
      </c>
      <c r="D7257" s="2">
        <v>42411</v>
      </c>
      <c r="E7257" s="1" t="s">
        <v>18</v>
      </c>
      <c r="F7257" t="str">
        <f>HYPERLINK("http://www.sec.gov/Archives/edgar/data/1652044/0001652044-16-000012-index.html")</f>
        <v>http://www.sec.gov/Archives/edgar/data/1652044/0001652044-16-000012-index.html</v>
      </c>
    </row>
    <row r="7258" spans="1:6" x14ac:dyDescent="0.2">
      <c r="A7258" t="s">
        <v>6671</v>
      </c>
      <c r="B7258" s="1">
        <v>201533</v>
      </c>
      <c r="C7258" s="1">
        <v>4931</v>
      </c>
      <c r="D7258" s="2">
        <v>42411</v>
      </c>
      <c r="E7258" s="1" t="s">
        <v>18</v>
      </c>
      <c r="F7258" t="str">
        <f>HYPERLINK("http://www.sec.gov/Archives/edgar/data/201533/0001104659-16-095725-index.html")</f>
        <v>http://www.sec.gov/Archives/edgar/data/201533/0001104659-16-095725-index.html</v>
      </c>
    </row>
    <row r="7259" spans="1:6" x14ac:dyDescent="0.2">
      <c r="A7259" t="s">
        <v>6672</v>
      </c>
      <c r="B7259" s="1">
        <v>24545</v>
      </c>
      <c r="C7259" s="1">
        <v>2082</v>
      </c>
      <c r="D7259" s="2">
        <v>42411</v>
      </c>
      <c r="E7259" s="1" t="s">
        <v>18</v>
      </c>
      <c r="F7259" t="str">
        <f>HYPERLINK("http://www.sec.gov/Archives/edgar/data/24545/0000024545-16-000054-index.html")</f>
        <v>http://www.sec.gov/Archives/edgar/data/24545/0000024545-16-000054-index.html</v>
      </c>
    </row>
    <row r="7260" spans="1:6" x14ac:dyDescent="0.2">
      <c r="A7260" t="s">
        <v>6673</v>
      </c>
      <c r="B7260" s="1">
        <v>310764</v>
      </c>
      <c r="C7260" s="1">
        <v>3841</v>
      </c>
      <c r="D7260" s="2">
        <v>42411</v>
      </c>
      <c r="E7260" s="1" t="s">
        <v>18</v>
      </c>
      <c r="F7260" t="str">
        <f>HYPERLINK("http://www.sec.gov/Archives/edgar/data/310764/0000310764-16-000226-index.html")</f>
        <v>http://www.sec.gov/Archives/edgar/data/310764/0000310764-16-000226-index.html</v>
      </c>
    </row>
    <row r="7261" spans="1:6" x14ac:dyDescent="0.2">
      <c r="A7261" t="s">
        <v>6674</v>
      </c>
      <c r="B7261" s="1">
        <v>33213</v>
      </c>
      <c r="C7261" s="1">
        <v>1311</v>
      </c>
      <c r="D7261" s="2">
        <v>42411</v>
      </c>
      <c r="E7261" s="1" t="s">
        <v>18</v>
      </c>
      <c r="F7261" t="str">
        <f>HYPERLINK("http://www.sec.gov/Archives/edgar/data/33213/0000033213-16-000018-index.html")</f>
        <v>http://www.sec.gov/Archives/edgar/data/33213/0000033213-16-000018-index.html</v>
      </c>
    </row>
    <row r="7262" spans="1:6" x14ac:dyDescent="0.2">
      <c r="A7262" t="s">
        <v>6675</v>
      </c>
      <c r="B7262" s="1">
        <v>350698</v>
      </c>
      <c r="C7262" s="1">
        <v>5500</v>
      </c>
      <c r="D7262" s="2">
        <v>42411</v>
      </c>
      <c r="E7262" s="1" t="s">
        <v>18</v>
      </c>
      <c r="F7262" t="str">
        <f>HYPERLINK("http://www.sec.gov/Archives/edgar/data/350698/0000350698-16-000276-index.html")</f>
        <v>http://www.sec.gov/Archives/edgar/data/350698/0000350698-16-000276-index.html</v>
      </c>
    </row>
    <row r="7263" spans="1:6" x14ac:dyDescent="0.2">
      <c r="A7263" t="s">
        <v>6676</v>
      </c>
      <c r="B7263" s="1">
        <v>37996</v>
      </c>
      <c r="C7263" s="1">
        <v>3711</v>
      </c>
      <c r="D7263" s="2">
        <v>42411</v>
      </c>
      <c r="E7263" s="1" t="s">
        <v>18</v>
      </c>
      <c r="F7263" t="str">
        <f>HYPERLINK("http://www.sec.gov/Archives/edgar/data/37996/0000037996-16-000092-index.html")</f>
        <v>http://www.sec.gov/Archives/edgar/data/37996/0000037996-16-000092-index.html</v>
      </c>
    </row>
    <row r="7264" spans="1:6" x14ac:dyDescent="0.2">
      <c r="A7264" t="s">
        <v>6677</v>
      </c>
      <c r="B7264" s="1">
        <v>38009</v>
      </c>
      <c r="C7264" s="1">
        <v>6159</v>
      </c>
      <c r="D7264" s="2">
        <v>42411</v>
      </c>
      <c r="E7264" s="1" t="s">
        <v>18</v>
      </c>
      <c r="F7264" t="str">
        <f>HYPERLINK("http://www.sec.gov/Archives/edgar/data/38009/0000038009-16-000235-index.html")</f>
        <v>http://www.sec.gov/Archives/edgar/data/38009/0000038009-16-000235-index.html</v>
      </c>
    </row>
    <row r="7265" spans="1:6" x14ac:dyDescent="0.2">
      <c r="A7265" t="s">
        <v>6678</v>
      </c>
      <c r="B7265" s="1">
        <v>55785</v>
      </c>
      <c r="C7265" s="1">
        <v>2670</v>
      </c>
      <c r="D7265" s="2">
        <v>42411</v>
      </c>
      <c r="E7265" s="1" t="s">
        <v>18</v>
      </c>
      <c r="F7265" t="str">
        <f>HYPERLINK("http://www.sec.gov/Archives/edgar/data/55785/0000055785-16-000138-index.html")</f>
        <v>http://www.sec.gov/Archives/edgar/data/55785/0000055785-16-000138-index.html</v>
      </c>
    </row>
    <row r="7266" spans="1:6" x14ac:dyDescent="0.2">
      <c r="A7266" t="s">
        <v>6679</v>
      </c>
      <c r="B7266" s="1">
        <v>66740</v>
      </c>
      <c r="C7266" s="1">
        <v>3841</v>
      </c>
      <c r="D7266" s="2">
        <v>42411</v>
      </c>
      <c r="E7266" s="1" t="s">
        <v>18</v>
      </c>
      <c r="F7266" t="str">
        <f>HYPERLINK("http://www.sec.gov/Archives/edgar/data/66740/0001558370-16-003162-index.html")</f>
        <v>http://www.sec.gov/Archives/edgar/data/66740/0001558370-16-003162-index.html</v>
      </c>
    </row>
    <row r="7267" spans="1:6" x14ac:dyDescent="0.2">
      <c r="A7267" t="s">
        <v>6680</v>
      </c>
      <c r="B7267" s="1">
        <v>726728</v>
      </c>
      <c r="C7267" s="1">
        <v>6798</v>
      </c>
      <c r="D7267" s="2">
        <v>42411</v>
      </c>
      <c r="E7267" s="1" t="s">
        <v>18</v>
      </c>
      <c r="F7267" t="str">
        <f>HYPERLINK("http://www.sec.gov/Archives/edgar/data/726728/0001104659-16-095923-index.html")</f>
        <v>http://www.sec.gov/Archives/edgar/data/726728/0001104659-16-095923-index.html</v>
      </c>
    </row>
    <row r="7268" spans="1:6" x14ac:dyDescent="0.2">
      <c r="A7268" t="s">
        <v>6681</v>
      </c>
      <c r="B7268" s="1">
        <v>73088</v>
      </c>
      <c r="C7268" s="1">
        <v>4931</v>
      </c>
      <c r="D7268" s="2">
        <v>42411</v>
      </c>
      <c r="E7268" s="1" t="s">
        <v>18</v>
      </c>
      <c r="F7268" t="str">
        <f>HYPERLINK("http://www.sec.gov/Archives/edgar/data/73088/0000073088-16-000230-index.html")</f>
        <v>http://www.sec.gov/Archives/edgar/data/73088/0000073088-16-000230-index.html</v>
      </c>
    </row>
    <row r="7269" spans="1:6" x14ac:dyDescent="0.2">
      <c r="A7269" t="s">
        <v>6682</v>
      </c>
      <c r="B7269" s="1">
        <v>766421</v>
      </c>
      <c r="C7269" s="1">
        <v>4512</v>
      </c>
      <c r="D7269" s="2">
        <v>42411</v>
      </c>
      <c r="E7269" s="1" t="s">
        <v>18</v>
      </c>
      <c r="F7269" t="str">
        <f>HYPERLINK("http://www.sec.gov/Archives/edgar/data/766421/0000766421-16-000065-index.html")</f>
        <v>http://www.sec.gov/Archives/edgar/data/766421/0000766421-16-000065-index.html</v>
      </c>
    </row>
    <row r="7270" spans="1:6" x14ac:dyDescent="0.2">
      <c r="A7270" t="s">
        <v>6683</v>
      </c>
      <c r="B7270" s="1">
        <v>77476</v>
      </c>
      <c r="C7270" s="1">
        <v>2080</v>
      </c>
      <c r="D7270" s="2">
        <v>42411</v>
      </c>
      <c r="E7270" s="1" t="s">
        <v>18</v>
      </c>
      <c r="F7270" t="str">
        <f>HYPERLINK("http://www.sec.gov/Archives/edgar/data/77476/0000077476-16-000066-index.html")</f>
        <v>http://www.sec.gov/Archives/edgar/data/77476/0000077476-16-000066-index.html</v>
      </c>
    </row>
    <row r="7271" spans="1:6" x14ac:dyDescent="0.2">
      <c r="A7271" t="s">
        <v>6684</v>
      </c>
      <c r="B7271" s="1">
        <v>811156</v>
      </c>
      <c r="C7271" s="1">
        <v>4931</v>
      </c>
      <c r="D7271" s="2">
        <v>42411</v>
      </c>
      <c r="E7271" s="1" t="s">
        <v>18</v>
      </c>
      <c r="F7271" t="str">
        <f>HYPERLINK("http://www.sec.gov/Archives/edgar/data/811156/0001104659-16-095725-index.html")</f>
        <v>http://www.sec.gov/Archives/edgar/data/811156/0001104659-16-095725-index.html</v>
      </c>
    </row>
    <row r="7272" spans="1:6" x14ac:dyDescent="0.2">
      <c r="A7272" t="s">
        <v>6685</v>
      </c>
      <c r="B7272" s="1">
        <v>816284</v>
      </c>
      <c r="C7272" s="1">
        <v>2834</v>
      </c>
      <c r="D7272" s="2">
        <v>42411</v>
      </c>
      <c r="E7272" s="1" t="s">
        <v>18</v>
      </c>
      <c r="F7272" t="str">
        <f>HYPERLINK("http://www.sec.gov/Archives/edgar/data/816284/0001628280-16-011012-index.html")</f>
        <v>http://www.sec.gov/Archives/edgar/data/816284/0001628280-16-011012-index.html</v>
      </c>
    </row>
    <row r="7273" spans="1:6" x14ac:dyDescent="0.2">
      <c r="A7273" t="s">
        <v>6686</v>
      </c>
      <c r="B7273" s="1">
        <v>825313</v>
      </c>
      <c r="C7273" s="1">
        <v>6282</v>
      </c>
      <c r="D7273" s="2">
        <v>42411</v>
      </c>
      <c r="E7273" s="1" t="s">
        <v>18</v>
      </c>
      <c r="F7273" t="str">
        <f>HYPERLINK("http://www.sec.gov/Archives/edgar/data/825313/0000825313-16-000046-index.html")</f>
        <v>http://www.sec.gov/Archives/edgar/data/825313/0000825313-16-000046-index.html</v>
      </c>
    </row>
    <row r="7274" spans="1:6" x14ac:dyDescent="0.2">
      <c r="A7274" t="s">
        <v>6687</v>
      </c>
      <c r="B7274" s="1">
        <v>830916</v>
      </c>
      <c r="C7274" s="1">
        <v>3672</v>
      </c>
      <c r="D7274" s="2">
        <v>42411</v>
      </c>
      <c r="E7274" s="1" t="s">
        <v>18</v>
      </c>
      <c r="F7274" t="str">
        <f>HYPERLINK("http://www.sec.gov/Archives/edgar/data/830916/0001564590-16-012666-index.html")</f>
        <v>http://www.sec.gov/Archives/edgar/data/830916/0001564590-16-012666-index.html</v>
      </c>
    </row>
    <row r="7275" spans="1:6" x14ac:dyDescent="0.2">
      <c r="A7275" t="s">
        <v>6688</v>
      </c>
      <c r="B7275" s="1">
        <v>833640</v>
      </c>
      <c r="C7275" s="1">
        <v>3674</v>
      </c>
      <c r="D7275" s="2">
        <v>42411</v>
      </c>
      <c r="E7275" s="1" t="s">
        <v>18</v>
      </c>
      <c r="F7275" t="str">
        <f>HYPERLINK("http://www.sec.gov/Archives/edgar/data/833640/0000833640-16-000276-index.html")</f>
        <v>http://www.sec.gov/Archives/edgar/data/833640/0000833640-16-000276-index.html</v>
      </c>
    </row>
    <row r="7276" spans="1:6" x14ac:dyDescent="0.2">
      <c r="A7276" t="s">
        <v>6689</v>
      </c>
      <c r="B7276" s="1">
        <v>86312</v>
      </c>
      <c r="C7276" s="1">
        <v>6331</v>
      </c>
      <c r="D7276" s="2">
        <v>42411</v>
      </c>
      <c r="E7276" s="1" t="s">
        <v>18</v>
      </c>
      <c r="F7276" t="str">
        <f>HYPERLINK("http://www.sec.gov/Archives/edgar/data/86312/0001047469-16-010107-index.html")</f>
        <v>http://www.sec.gov/Archives/edgar/data/86312/0001047469-16-010107-index.html</v>
      </c>
    </row>
    <row r="7277" spans="1:6" x14ac:dyDescent="0.2">
      <c r="A7277" t="s">
        <v>1197</v>
      </c>
      <c r="B7277" s="1">
        <v>866609</v>
      </c>
      <c r="C7277" s="1">
        <v>1382</v>
      </c>
      <c r="D7277" s="2">
        <v>42411</v>
      </c>
      <c r="E7277" s="1" t="s">
        <v>18</v>
      </c>
      <c r="F7277" t="str">
        <f>HYPERLINK("http://www.sec.gov/Archives/edgar/data/866609/0001628280-16-010990-index.html")</f>
        <v>http://www.sec.gov/Archives/edgar/data/866609/0001628280-16-010990-index.html</v>
      </c>
    </row>
    <row r="7278" spans="1:6" x14ac:dyDescent="0.2">
      <c r="A7278" t="s">
        <v>6690</v>
      </c>
      <c r="B7278" s="1">
        <v>872589</v>
      </c>
      <c r="C7278" s="1">
        <v>2834</v>
      </c>
      <c r="D7278" s="2">
        <v>42411</v>
      </c>
      <c r="E7278" s="1" t="s">
        <v>18</v>
      </c>
      <c r="F7278" t="str">
        <f>HYPERLINK("http://www.sec.gov/Archives/edgar/data/872589/0001532176-16-000045-index.html")</f>
        <v>http://www.sec.gov/Archives/edgar/data/872589/0001532176-16-000045-index.html</v>
      </c>
    </row>
    <row r="7279" spans="1:6" x14ac:dyDescent="0.2">
      <c r="A7279" t="s">
        <v>6691</v>
      </c>
      <c r="B7279" s="1">
        <v>893949</v>
      </c>
      <c r="C7279" s="1">
        <v>8060</v>
      </c>
      <c r="D7279" s="2">
        <v>42411</v>
      </c>
      <c r="E7279" s="1" t="s">
        <v>18</v>
      </c>
      <c r="F7279" t="str">
        <f>HYPERLINK("http://www.sec.gov/Archives/edgar/data/893949/0001193125-16-459842-index.html")</f>
        <v>http://www.sec.gov/Archives/edgar/data/893949/0001193125-16-459842-index.html</v>
      </c>
    </row>
    <row r="7280" spans="1:6" x14ac:dyDescent="0.2">
      <c r="A7280" t="s">
        <v>6692</v>
      </c>
      <c r="B7280" s="1">
        <v>908255</v>
      </c>
      <c r="C7280" s="1">
        <v>3714</v>
      </c>
      <c r="D7280" s="2">
        <v>42411</v>
      </c>
      <c r="E7280" s="1" t="s">
        <v>18</v>
      </c>
      <c r="F7280" t="str">
        <f>HYPERLINK("http://www.sec.gov/Archives/edgar/data/908255/0000908255-16-000077-index.html")</f>
        <v>http://www.sec.gov/Archives/edgar/data/908255/0000908255-16-000077-index.html</v>
      </c>
    </row>
    <row r="7281" spans="1:6" x14ac:dyDescent="0.2">
      <c r="A7281" t="s">
        <v>6693</v>
      </c>
      <c r="B7281" s="1">
        <v>91440</v>
      </c>
      <c r="C7281" s="1">
        <v>3420</v>
      </c>
      <c r="D7281" s="2">
        <v>42411</v>
      </c>
      <c r="E7281" s="1" t="s">
        <v>18</v>
      </c>
      <c r="F7281" t="str">
        <f>HYPERLINK("http://www.sec.gov/Archives/edgar/data/91440/0001193125-16-459788-index.html")</f>
        <v>http://www.sec.gov/Archives/edgar/data/91440/0001193125-16-459788-index.html</v>
      </c>
    </row>
    <row r="7282" spans="1:6" x14ac:dyDescent="0.2">
      <c r="A7282" t="s">
        <v>6694</v>
      </c>
      <c r="B7282" s="1">
        <v>914475</v>
      </c>
      <c r="C7282" s="1">
        <v>2836</v>
      </c>
      <c r="D7282" s="2">
        <v>42411</v>
      </c>
      <c r="E7282" s="1" t="s">
        <v>18</v>
      </c>
      <c r="F7282" t="str">
        <f>HYPERLINK("http://www.sec.gov/Archives/edgar/data/914475/0001193125-16-459862-index.html")</f>
        <v>http://www.sec.gov/Archives/edgar/data/914475/0001193125-16-459862-index.html</v>
      </c>
    </row>
    <row r="7283" spans="1:6" x14ac:dyDescent="0.2">
      <c r="A7283" t="s">
        <v>6695</v>
      </c>
      <c r="B7283" s="1">
        <v>94845</v>
      </c>
      <c r="C7283" s="1">
        <v>2300</v>
      </c>
      <c r="D7283" s="2">
        <v>42411</v>
      </c>
      <c r="E7283" s="1" t="s">
        <v>18</v>
      </c>
      <c r="F7283" t="str">
        <f>HYPERLINK("http://www.sec.gov/Archives/edgar/data/94845/0000094845-16-000047-index.html")</f>
        <v>http://www.sec.gov/Archives/edgar/data/94845/0000094845-16-000047-index.html</v>
      </c>
    </row>
    <row r="7284" spans="1:6" x14ac:dyDescent="0.2">
      <c r="A7284" t="s">
        <v>6696</v>
      </c>
      <c r="B7284" s="1">
        <v>949158</v>
      </c>
      <c r="C7284" s="1">
        <v>3571</v>
      </c>
      <c r="D7284" s="2">
        <v>42411</v>
      </c>
      <c r="E7284" s="1" t="s">
        <v>18</v>
      </c>
      <c r="F7284" t="str">
        <f>HYPERLINK("http://www.sec.gov/Archives/edgar/data/949158/0000949158-16-000035-index.html")</f>
        <v>http://www.sec.gov/Archives/edgar/data/949158/0000949158-16-000035-index.html</v>
      </c>
    </row>
    <row r="7285" spans="1:6" x14ac:dyDescent="0.2">
      <c r="A7285" t="s">
        <v>6697</v>
      </c>
      <c r="B7285" s="1">
        <v>1000228</v>
      </c>
      <c r="C7285" s="1">
        <v>5047</v>
      </c>
      <c r="D7285" s="2">
        <v>42410</v>
      </c>
      <c r="E7285" s="1" t="s">
        <v>18</v>
      </c>
      <c r="F7285" t="str">
        <f>HYPERLINK("http://www.sec.gov/Archives/edgar/data/1000228/0001000228-16-000042-index.html")</f>
        <v>http://www.sec.gov/Archives/edgar/data/1000228/0001000228-16-000042-index.html</v>
      </c>
    </row>
    <row r="7286" spans="1:6" x14ac:dyDescent="0.2">
      <c r="A7286" t="s">
        <v>6698</v>
      </c>
      <c r="B7286" s="1">
        <v>1047122</v>
      </c>
      <c r="C7286" s="1">
        <v>3812</v>
      </c>
      <c r="D7286" s="2">
        <v>42410</v>
      </c>
      <c r="E7286" s="1" t="s">
        <v>18</v>
      </c>
      <c r="F7286" t="str">
        <f>HYPERLINK("http://www.sec.gov/Archives/edgar/data/1047122/0001047122-16-000210-index.html")</f>
        <v>http://www.sec.gov/Archives/edgar/data/1047122/0001047122-16-000210-index.html</v>
      </c>
    </row>
    <row r="7287" spans="1:6" x14ac:dyDescent="0.2">
      <c r="A7287" t="s">
        <v>6699</v>
      </c>
      <c r="B7287" s="1">
        <v>1051741</v>
      </c>
      <c r="C7287" s="1">
        <v>6021</v>
      </c>
      <c r="D7287" s="2">
        <v>42410</v>
      </c>
      <c r="E7287" s="1" t="s">
        <v>18</v>
      </c>
      <c r="F7287" t="str">
        <f>HYPERLINK("http://www.sec.gov/Archives/edgar/data/1051741/0001051741-16-000251-index.html")</f>
        <v>http://www.sec.gov/Archives/edgar/data/1051741/0001051741-16-000251-index.html</v>
      </c>
    </row>
    <row r="7288" spans="1:6" x14ac:dyDescent="0.2">
      <c r="A7288" t="s">
        <v>6700</v>
      </c>
      <c r="B7288" s="1">
        <v>1091667</v>
      </c>
      <c r="C7288" s="1">
        <v>4841</v>
      </c>
      <c r="D7288" s="2">
        <v>42410</v>
      </c>
      <c r="E7288" s="1" t="s">
        <v>18</v>
      </c>
      <c r="F7288" t="str">
        <f>HYPERLINK("http://www.sec.gov/Archives/edgar/data/1091667/0001091667-16-000396-index.html")</f>
        <v>http://www.sec.gov/Archives/edgar/data/1091667/0001091667-16-000396-index.html</v>
      </c>
    </row>
    <row r="7289" spans="1:6" x14ac:dyDescent="0.2">
      <c r="A7289" t="s">
        <v>6701</v>
      </c>
      <c r="B7289" s="1">
        <v>1109357</v>
      </c>
      <c r="C7289" s="1">
        <v>4931</v>
      </c>
      <c r="D7289" s="2">
        <v>42410</v>
      </c>
      <c r="E7289" s="1" t="s">
        <v>18</v>
      </c>
      <c r="F7289" t="str">
        <f>HYPERLINK("http://www.sec.gov/Archives/edgar/data/1109357/0001193125-16-457652-index.html")</f>
        <v>http://www.sec.gov/Archives/edgar/data/1109357/0001193125-16-457652-index.html</v>
      </c>
    </row>
    <row r="7290" spans="1:6" x14ac:dyDescent="0.2">
      <c r="A7290" t="s">
        <v>6702</v>
      </c>
      <c r="B7290" s="1">
        <v>1125376</v>
      </c>
      <c r="C7290" s="1">
        <v>8051</v>
      </c>
      <c r="D7290" s="2">
        <v>42410</v>
      </c>
      <c r="E7290" s="1" t="s">
        <v>18</v>
      </c>
      <c r="F7290" t="str">
        <f>HYPERLINK("http://www.sec.gov/Archives/edgar/data/1125376/0001125376-16-000142-index.html")</f>
        <v>http://www.sec.gov/Archives/edgar/data/1125376/0001125376-16-000142-index.html</v>
      </c>
    </row>
    <row r="7291" spans="1:6" x14ac:dyDescent="0.2">
      <c r="A7291" t="s">
        <v>6703</v>
      </c>
      <c r="B7291" s="1">
        <v>1126328</v>
      </c>
      <c r="C7291" s="1">
        <v>6321</v>
      </c>
      <c r="D7291" s="2">
        <v>42410</v>
      </c>
      <c r="E7291" s="1" t="s">
        <v>18</v>
      </c>
      <c r="F7291" t="str">
        <f>HYPERLINK("http://www.sec.gov/Archives/edgar/data/1126328/0001047469-16-010094-index.html")</f>
        <v>http://www.sec.gov/Archives/edgar/data/1126328/0001047469-16-010094-index.html</v>
      </c>
    </row>
    <row r="7292" spans="1:6" x14ac:dyDescent="0.2">
      <c r="A7292" t="s">
        <v>6704</v>
      </c>
      <c r="B7292" s="1">
        <v>1168165</v>
      </c>
      <c r="C7292" s="1">
        <v>4911</v>
      </c>
      <c r="D7292" s="2">
        <v>42410</v>
      </c>
      <c r="E7292" s="1" t="s">
        <v>18</v>
      </c>
      <c r="F7292" t="str">
        <f>HYPERLINK("http://www.sec.gov/Archives/edgar/data/1168165/0001193125-16-457652-index.html")</f>
        <v>http://www.sec.gov/Archives/edgar/data/1168165/0001193125-16-457652-index.html</v>
      </c>
    </row>
    <row r="7293" spans="1:6" x14ac:dyDescent="0.2">
      <c r="A7293" t="s">
        <v>6705</v>
      </c>
      <c r="B7293" s="1">
        <v>12927</v>
      </c>
      <c r="C7293" s="1">
        <v>3721</v>
      </c>
      <c r="D7293" s="2">
        <v>42410</v>
      </c>
      <c r="E7293" s="1" t="s">
        <v>18</v>
      </c>
      <c r="F7293" t="str">
        <f>HYPERLINK("http://www.sec.gov/Archives/edgar/data/12927/0000012927-16-000099-index.html")</f>
        <v>http://www.sec.gov/Archives/edgar/data/12927/0000012927-16-000099-index.html</v>
      </c>
    </row>
    <row r="7294" spans="1:6" x14ac:dyDescent="0.2">
      <c r="A7294" t="s">
        <v>6706</v>
      </c>
      <c r="B7294" s="1">
        <v>1303942</v>
      </c>
      <c r="C7294" s="1">
        <v>6035</v>
      </c>
      <c r="D7294" s="2">
        <v>42410</v>
      </c>
      <c r="E7294" s="1" t="s">
        <v>18</v>
      </c>
      <c r="F7294" t="str">
        <f>HYPERLINK("http://www.sec.gov/Archives/edgar/data/1303942/0001303942-16-000088-index.html")</f>
        <v>http://www.sec.gov/Archives/edgar/data/1303942/0001303942-16-000088-index.html</v>
      </c>
    </row>
    <row r="7295" spans="1:6" x14ac:dyDescent="0.2">
      <c r="A7295" t="s">
        <v>6707</v>
      </c>
      <c r="B7295" s="1">
        <v>1370946</v>
      </c>
      <c r="C7295" s="1">
        <v>3290</v>
      </c>
      <c r="D7295" s="2">
        <v>42410</v>
      </c>
      <c r="E7295" s="1" t="s">
        <v>18</v>
      </c>
      <c r="F7295" t="str">
        <f>HYPERLINK("http://www.sec.gov/Archives/edgar/data/1370946/0001370946-16-000272-index.html")</f>
        <v>http://www.sec.gov/Archives/edgar/data/1370946/0001370946-16-000272-index.html</v>
      </c>
    </row>
    <row r="7296" spans="1:6" x14ac:dyDescent="0.2">
      <c r="A7296" t="s">
        <v>6708</v>
      </c>
      <c r="B7296" s="1">
        <v>1393883</v>
      </c>
      <c r="C7296" s="1">
        <v>7389</v>
      </c>
      <c r="D7296" s="2">
        <v>42410</v>
      </c>
      <c r="E7296" s="1" t="s">
        <v>18</v>
      </c>
      <c r="F7296" t="str">
        <f>HYPERLINK("http://www.sec.gov/Archives/edgar/data/1393883/0001393883-16-000052-index.html")</f>
        <v>http://www.sec.gov/Archives/edgar/data/1393883/0001393883-16-000052-index.html</v>
      </c>
    </row>
    <row r="7297" spans="1:6" x14ac:dyDescent="0.2">
      <c r="A7297" t="s">
        <v>6709</v>
      </c>
      <c r="B7297" s="1">
        <v>1408356</v>
      </c>
      <c r="C7297" s="1">
        <v>1700</v>
      </c>
      <c r="D7297" s="2">
        <v>42410</v>
      </c>
      <c r="E7297" s="1" t="s">
        <v>18</v>
      </c>
      <c r="F7297" t="str">
        <f>HYPERLINK("http://www.sec.gov/Archives/edgar/data/1408356/0001564590-16-012549-index.html")</f>
        <v>http://www.sec.gov/Archives/edgar/data/1408356/0001564590-16-012549-index.html</v>
      </c>
    </row>
    <row r="7298" spans="1:6" x14ac:dyDescent="0.2">
      <c r="A7298" t="s">
        <v>6710</v>
      </c>
      <c r="B7298" s="1">
        <v>1422109</v>
      </c>
      <c r="C7298" s="1">
        <v>4991</v>
      </c>
      <c r="D7298" s="2">
        <v>42410</v>
      </c>
      <c r="E7298" s="1" t="s">
        <v>42</v>
      </c>
      <c r="F7298" t="str">
        <f>HYPERLINK("http://www.sec.gov/Archives/edgar/data/1422109/0001393905-16-000723-index.html")</f>
        <v>http://www.sec.gov/Archives/edgar/data/1422109/0001393905-16-000723-index.html</v>
      </c>
    </row>
    <row r="7299" spans="1:6" x14ac:dyDescent="0.2">
      <c r="A7299" t="s">
        <v>6711</v>
      </c>
      <c r="B7299" s="1">
        <v>1469207</v>
      </c>
      <c r="C7299" s="1">
        <v>2080</v>
      </c>
      <c r="D7299" s="2">
        <v>42410</v>
      </c>
      <c r="E7299" s="1" t="s">
        <v>18</v>
      </c>
      <c r="F7299" t="str">
        <f>HYPERLINK("http://www.sec.gov/Archives/edgar/data/1469207/0001308411-16-000160-index.html")</f>
        <v>http://www.sec.gov/Archives/edgar/data/1469207/0001308411-16-000160-index.html</v>
      </c>
    </row>
    <row r="7300" spans="1:6" x14ac:dyDescent="0.2">
      <c r="A7300" t="s">
        <v>6712</v>
      </c>
      <c r="B7300" s="1">
        <v>1476150</v>
      </c>
      <c r="C7300" s="1">
        <v>6500</v>
      </c>
      <c r="D7300" s="2">
        <v>42410</v>
      </c>
      <c r="E7300" s="1" t="s">
        <v>18</v>
      </c>
      <c r="F7300" t="str">
        <f>HYPERLINK("http://www.sec.gov/Archives/edgar/data/1476150/0001193125-16-456255-index.html")</f>
        <v>http://www.sec.gov/Archives/edgar/data/1476150/0001193125-16-456255-index.html</v>
      </c>
    </row>
    <row r="7301" spans="1:6" x14ac:dyDescent="0.2">
      <c r="A7301" t="s">
        <v>6713</v>
      </c>
      <c r="B7301" s="1">
        <v>1533932</v>
      </c>
      <c r="C7301" s="1">
        <v>7389</v>
      </c>
      <c r="D7301" s="2">
        <v>42410</v>
      </c>
      <c r="E7301" s="1" t="s">
        <v>18</v>
      </c>
      <c r="F7301" t="str">
        <f>HYPERLINK("http://www.sec.gov/Archives/edgar/data/1533932/0001533932-16-000320-index.html")</f>
        <v>http://www.sec.gov/Archives/edgar/data/1533932/0001533932-16-000320-index.html</v>
      </c>
    </row>
    <row r="7302" spans="1:6" x14ac:dyDescent="0.2">
      <c r="A7302" t="s">
        <v>6714</v>
      </c>
      <c r="B7302" s="1">
        <v>1565430</v>
      </c>
      <c r="C7302" s="1">
        <v>7389</v>
      </c>
      <c r="D7302" s="2">
        <v>42410</v>
      </c>
      <c r="E7302" s="1" t="s">
        <v>18</v>
      </c>
      <c r="F7302" t="str">
        <f>HYPERLINK("http://www.sec.gov/Archives/edgar/data/1565430/0001354488-16-006142-index.html")</f>
        <v>http://www.sec.gov/Archives/edgar/data/1565430/0001354488-16-006142-index.html</v>
      </c>
    </row>
    <row r="7303" spans="1:6" x14ac:dyDescent="0.2">
      <c r="A7303" t="s">
        <v>6715</v>
      </c>
      <c r="B7303" s="1">
        <v>1613809</v>
      </c>
      <c r="C7303" s="1">
        <v>1000</v>
      </c>
      <c r="D7303" s="2">
        <v>42410</v>
      </c>
      <c r="E7303" s="1" t="s">
        <v>18</v>
      </c>
      <c r="F7303" t="str">
        <f>HYPERLINK("http://www.sec.gov/Archives/edgar/data/1613809/0001477932-16-008508-index.html")</f>
        <v>http://www.sec.gov/Archives/edgar/data/1613809/0001477932-16-008508-index.html</v>
      </c>
    </row>
    <row r="7304" spans="1:6" x14ac:dyDescent="0.2">
      <c r="A7304" t="s">
        <v>6716</v>
      </c>
      <c r="B7304" s="1">
        <v>1629665</v>
      </c>
      <c r="C7304" s="1">
        <v>6770</v>
      </c>
      <c r="D7304" s="2">
        <v>42410</v>
      </c>
      <c r="E7304" s="1" t="s">
        <v>18</v>
      </c>
      <c r="F7304" t="str">
        <f>HYPERLINK("http://www.sec.gov/Archives/edgar/data/1629665/0001520138-16-000711-index.html")</f>
        <v>http://www.sec.gov/Archives/edgar/data/1629665/0001520138-16-000711-index.html</v>
      </c>
    </row>
    <row r="7305" spans="1:6" x14ac:dyDescent="0.2">
      <c r="A7305" t="s">
        <v>6717</v>
      </c>
      <c r="B7305" s="1">
        <v>215466</v>
      </c>
      <c r="C7305" s="1">
        <v>1040</v>
      </c>
      <c r="D7305" s="2">
        <v>42410</v>
      </c>
      <c r="E7305" s="1" t="s">
        <v>18</v>
      </c>
      <c r="F7305" t="str">
        <f>HYPERLINK("http://www.sec.gov/Archives/edgar/data/215466/0000215466-16-000166-index.html")</f>
        <v>http://www.sec.gov/Archives/edgar/data/215466/0000215466-16-000166-index.html</v>
      </c>
    </row>
    <row r="7306" spans="1:6" x14ac:dyDescent="0.2">
      <c r="A7306" t="s">
        <v>6718</v>
      </c>
      <c r="B7306" s="1">
        <v>22606</v>
      </c>
      <c r="C7306" s="1">
        <v>4911</v>
      </c>
      <c r="D7306" s="2">
        <v>42410</v>
      </c>
      <c r="E7306" s="1" t="s">
        <v>18</v>
      </c>
      <c r="F7306" t="str">
        <f>HYPERLINK("http://www.sec.gov/Archives/edgar/data/22606/0001193125-16-457652-index.html")</f>
        <v>http://www.sec.gov/Archives/edgar/data/22606/0001193125-16-457652-index.html</v>
      </c>
    </row>
    <row r="7307" spans="1:6" x14ac:dyDescent="0.2">
      <c r="A7307" t="s">
        <v>6719</v>
      </c>
      <c r="B7307" s="1">
        <v>25232</v>
      </c>
      <c r="C7307" s="1">
        <v>6798</v>
      </c>
      <c r="D7307" s="2">
        <v>42410</v>
      </c>
      <c r="E7307" s="1" t="s">
        <v>18</v>
      </c>
      <c r="F7307" t="str">
        <f>HYPERLINK("http://www.sec.gov/Archives/edgar/data/25232/0000025232-16-000046-index.html")</f>
        <v>http://www.sec.gov/Archives/edgar/data/25232/0000025232-16-000046-index.html</v>
      </c>
    </row>
    <row r="7308" spans="1:6" x14ac:dyDescent="0.2">
      <c r="A7308" t="s">
        <v>6720</v>
      </c>
      <c r="B7308" s="1">
        <v>277948</v>
      </c>
      <c r="C7308" s="1">
        <v>4011</v>
      </c>
      <c r="D7308" s="2">
        <v>42410</v>
      </c>
      <c r="E7308" s="1" t="s">
        <v>18</v>
      </c>
      <c r="F7308" t="str">
        <f>HYPERLINK("http://www.sec.gov/Archives/edgar/data/277948/0000277948-16-000046-index.html")</f>
        <v>http://www.sec.gov/Archives/edgar/data/277948/0000277948-16-000046-index.html</v>
      </c>
    </row>
    <row r="7309" spans="1:6" x14ac:dyDescent="0.2">
      <c r="A7309" t="s">
        <v>6721</v>
      </c>
      <c r="B7309" s="1">
        <v>28385</v>
      </c>
      <c r="C7309" s="1">
        <v>4911</v>
      </c>
      <c r="D7309" s="2">
        <v>42410</v>
      </c>
      <c r="E7309" s="1" t="s">
        <v>18</v>
      </c>
      <c r="F7309" t="str">
        <f>HYPERLINK("http://www.sec.gov/Archives/edgar/data/28385/0000936340-16-000243-index.html")</f>
        <v>http://www.sec.gov/Archives/edgar/data/28385/0000936340-16-000243-index.html</v>
      </c>
    </row>
    <row r="7310" spans="1:6" x14ac:dyDescent="0.2">
      <c r="A7310" t="s">
        <v>6722</v>
      </c>
      <c r="B7310" s="1">
        <v>354190</v>
      </c>
      <c r="C7310" s="1">
        <v>6411</v>
      </c>
      <c r="D7310" s="2">
        <v>42410</v>
      </c>
      <c r="E7310" s="1" t="s">
        <v>18</v>
      </c>
      <c r="F7310" t="str">
        <f>HYPERLINK("http://www.sec.gov/Archives/edgar/data/354190/0001193125-16-457703-index.html")</f>
        <v>http://www.sec.gov/Archives/edgar/data/354190/0001193125-16-457703-index.html</v>
      </c>
    </row>
    <row r="7311" spans="1:6" x14ac:dyDescent="0.2">
      <c r="A7311" t="s">
        <v>6723</v>
      </c>
      <c r="B7311" s="1">
        <v>757011</v>
      </c>
      <c r="C7311" s="1">
        <v>3270</v>
      </c>
      <c r="D7311" s="2">
        <v>42410</v>
      </c>
      <c r="E7311" s="1" t="s">
        <v>18</v>
      </c>
      <c r="F7311" t="str">
        <f>HYPERLINK("http://www.sec.gov/Archives/edgar/data/757011/0000757011-16-000148-index.html")</f>
        <v>http://www.sec.gov/Archives/edgar/data/757011/0000757011-16-000148-index.html</v>
      </c>
    </row>
    <row r="7312" spans="1:6" x14ac:dyDescent="0.2">
      <c r="A7312" t="s">
        <v>6724</v>
      </c>
      <c r="B7312" s="1">
        <v>78100</v>
      </c>
      <c r="C7312" s="1">
        <v>4931</v>
      </c>
      <c r="D7312" s="2">
        <v>42410</v>
      </c>
      <c r="E7312" s="1" t="s">
        <v>18</v>
      </c>
      <c r="F7312" t="str">
        <f>HYPERLINK("http://www.sec.gov/Archives/edgar/data/78100/0001193125-16-457652-index.html")</f>
        <v>http://www.sec.gov/Archives/edgar/data/78100/0001193125-16-457652-index.html</v>
      </c>
    </row>
    <row r="7313" spans="1:6" x14ac:dyDescent="0.2">
      <c r="A7313" t="s">
        <v>6725</v>
      </c>
      <c r="B7313" s="1">
        <v>851205</v>
      </c>
      <c r="C7313" s="1">
        <v>3823</v>
      </c>
      <c r="D7313" s="2">
        <v>42410</v>
      </c>
      <c r="E7313" s="1" t="s">
        <v>18</v>
      </c>
      <c r="F7313" t="str">
        <f>HYPERLINK("http://www.sec.gov/Archives/edgar/data/851205/0000851205-16-000027-index.html")</f>
        <v>http://www.sec.gov/Archives/edgar/data/851205/0000851205-16-000027-index.html</v>
      </c>
    </row>
    <row r="7314" spans="1:6" x14ac:dyDescent="0.2">
      <c r="A7314" t="s">
        <v>6726</v>
      </c>
      <c r="B7314" s="1">
        <v>889900</v>
      </c>
      <c r="C7314" s="1">
        <v>1381</v>
      </c>
      <c r="D7314" s="2">
        <v>42410</v>
      </c>
      <c r="E7314" s="1" t="s">
        <v>18</v>
      </c>
      <c r="F7314" t="str">
        <f>HYPERLINK("http://www.sec.gov/Archives/edgar/data/889900/0001564590-16-012604-index.html")</f>
        <v>http://www.sec.gov/Archives/edgar/data/889900/0001564590-16-012604-index.html</v>
      </c>
    </row>
    <row r="7315" spans="1:6" x14ac:dyDescent="0.2">
      <c r="A7315" t="s">
        <v>6727</v>
      </c>
      <c r="B7315" s="1">
        <v>936340</v>
      </c>
      <c r="C7315" s="1">
        <v>4911</v>
      </c>
      <c r="D7315" s="2">
        <v>42410</v>
      </c>
      <c r="E7315" s="1" t="s">
        <v>18</v>
      </c>
      <c r="F7315" t="str">
        <f>HYPERLINK("http://www.sec.gov/Archives/edgar/data/936340/0000936340-16-000243-index.html")</f>
        <v>http://www.sec.gov/Archives/edgar/data/936340/0000936340-16-000243-index.html</v>
      </c>
    </row>
    <row r="7316" spans="1:6" x14ac:dyDescent="0.2">
      <c r="A7316" t="s">
        <v>6728</v>
      </c>
      <c r="B7316" s="1">
        <v>9466</v>
      </c>
      <c r="C7316" s="1">
        <v>4931</v>
      </c>
      <c r="D7316" s="2">
        <v>42410</v>
      </c>
      <c r="E7316" s="1" t="s">
        <v>18</v>
      </c>
      <c r="F7316" t="str">
        <f>HYPERLINK("http://www.sec.gov/Archives/edgar/data/9466/0001193125-16-457652-index.html")</f>
        <v>http://www.sec.gov/Archives/edgar/data/9466/0001193125-16-457652-index.html</v>
      </c>
    </row>
    <row r="7317" spans="1:6" x14ac:dyDescent="0.2">
      <c r="A7317" t="s">
        <v>6729</v>
      </c>
      <c r="B7317" s="1">
        <v>1057058</v>
      </c>
      <c r="C7317" s="1">
        <v>4953</v>
      </c>
      <c r="D7317" s="2">
        <v>42409</v>
      </c>
      <c r="E7317" s="1" t="s">
        <v>18</v>
      </c>
      <c r="F7317" t="str">
        <f>HYPERLINK("http://www.sec.gov/Archives/edgar/data/1057058/0001144204-16-079708-index.html")</f>
        <v>http://www.sec.gov/Archives/edgar/data/1057058/0001144204-16-079708-index.html</v>
      </c>
    </row>
    <row r="7318" spans="1:6" x14ac:dyDescent="0.2">
      <c r="A7318" t="s">
        <v>722</v>
      </c>
      <c r="B7318" s="1">
        <v>1459482</v>
      </c>
      <c r="C7318" s="1">
        <v>8200</v>
      </c>
      <c r="D7318" s="2">
        <v>42409</v>
      </c>
      <c r="E7318" s="1" t="s">
        <v>42</v>
      </c>
      <c r="F7318" t="str">
        <f>HYPERLINK("http://www.sec.gov/Archives/edgar/data/1459482/0001019687-16-005096-index.html")</f>
        <v>http://www.sec.gov/Archives/edgar/data/1459482/0001019687-16-005096-index.html</v>
      </c>
    </row>
    <row r="7319" spans="1:6" x14ac:dyDescent="0.2">
      <c r="A7319" t="s">
        <v>6730</v>
      </c>
      <c r="B7319" s="1">
        <v>1551887</v>
      </c>
      <c r="C7319" s="1">
        <v>7372</v>
      </c>
      <c r="D7319" s="2">
        <v>42409</v>
      </c>
      <c r="E7319" s="1" t="s">
        <v>18</v>
      </c>
      <c r="F7319" t="str">
        <f>HYPERLINK("http://www.sec.gov/Archives/edgar/data/1551887/0001393905-16-000721-index.html")</f>
        <v>http://www.sec.gov/Archives/edgar/data/1551887/0001393905-16-000721-index.html</v>
      </c>
    </row>
    <row r="7320" spans="1:6" x14ac:dyDescent="0.2">
      <c r="A7320" t="s">
        <v>6731</v>
      </c>
      <c r="B7320" s="1">
        <v>1630430</v>
      </c>
      <c r="C7320" s="1">
        <v>2844</v>
      </c>
      <c r="D7320" s="2">
        <v>42409</v>
      </c>
      <c r="E7320" s="1" t="s">
        <v>18</v>
      </c>
      <c r="F7320" t="str">
        <f>HYPERLINK("http://www.sec.gov/Archives/edgar/data/1630430/0001078782-16-002288-index.html")</f>
        <v>http://www.sec.gov/Archives/edgar/data/1630430/0001078782-16-002288-index.html</v>
      </c>
    </row>
    <row r="7321" spans="1:6" x14ac:dyDescent="0.2">
      <c r="A7321" t="s">
        <v>6732</v>
      </c>
      <c r="B7321" s="1">
        <v>29989</v>
      </c>
      <c r="C7321" s="1">
        <v>7311</v>
      </c>
      <c r="D7321" s="2">
        <v>42409</v>
      </c>
      <c r="E7321" s="1" t="s">
        <v>18</v>
      </c>
      <c r="F7321" t="str">
        <f>HYPERLINK("http://www.sec.gov/Archives/edgar/data/29989/0000029989-16-000015-index.html")</f>
        <v>http://www.sec.gov/Archives/edgar/data/29989/0000029989-16-000015-index.html</v>
      </c>
    </row>
    <row r="7322" spans="1:6" x14ac:dyDescent="0.2">
      <c r="A7322" t="s">
        <v>6733</v>
      </c>
      <c r="B7322" s="1">
        <v>34903</v>
      </c>
      <c r="C7322" s="1">
        <v>6798</v>
      </c>
      <c r="D7322" s="2">
        <v>42409</v>
      </c>
      <c r="E7322" s="1" t="s">
        <v>18</v>
      </c>
      <c r="F7322" t="str">
        <f>HYPERLINK("http://www.sec.gov/Archives/edgar/data/34903/0000034903-16-000045-index.html")</f>
        <v>http://www.sec.gov/Archives/edgar/data/34903/0000034903-16-000045-index.html</v>
      </c>
    </row>
    <row r="7323" spans="1:6" x14ac:dyDescent="0.2">
      <c r="A7323" t="s">
        <v>6734</v>
      </c>
      <c r="B7323" s="1">
        <v>42582</v>
      </c>
      <c r="C7323" s="1">
        <v>3011</v>
      </c>
      <c r="D7323" s="2">
        <v>42409</v>
      </c>
      <c r="E7323" s="1" t="s">
        <v>18</v>
      </c>
      <c r="F7323" t="str">
        <f>HYPERLINK("http://www.sec.gov/Archives/edgar/data/42582/0000950123-16-013733-index.html")</f>
        <v>http://www.sec.gov/Archives/edgar/data/42582/0000950123-16-013733-index.html</v>
      </c>
    </row>
    <row r="7324" spans="1:6" x14ac:dyDescent="0.2">
      <c r="A7324" t="s">
        <v>6735</v>
      </c>
      <c r="B7324" s="1">
        <v>64803</v>
      </c>
      <c r="C7324" s="1">
        <v>5912</v>
      </c>
      <c r="D7324" s="2">
        <v>42409</v>
      </c>
      <c r="E7324" s="1" t="s">
        <v>18</v>
      </c>
      <c r="F7324" t="str">
        <f>HYPERLINK("http://www.sec.gov/Archives/edgar/data/64803/0000064803-16-000074-index.html")</f>
        <v>http://www.sec.gov/Archives/edgar/data/64803/0000064803-16-000074-index.html</v>
      </c>
    </row>
    <row r="7325" spans="1:6" x14ac:dyDescent="0.2">
      <c r="A7325" t="s">
        <v>6736</v>
      </c>
      <c r="B7325" s="1">
        <v>64996</v>
      </c>
      <c r="C7325" s="1">
        <v>6331</v>
      </c>
      <c r="D7325" s="2">
        <v>42409</v>
      </c>
      <c r="E7325" s="1" t="s">
        <v>18</v>
      </c>
      <c r="F7325" t="str">
        <f>HYPERLINK("http://www.sec.gov/Archives/edgar/data/64996/0000064996-16-000036-index.html")</f>
        <v>http://www.sec.gov/Archives/edgar/data/64996/0000064996-16-000036-index.html</v>
      </c>
    </row>
    <row r="7326" spans="1:6" x14ac:dyDescent="0.2">
      <c r="A7326" t="s">
        <v>6737</v>
      </c>
      <c r="B7326" s="1">
        <v>731766</v>
      </c>
      <c r="C7326" s="1">
        <v>6324</v>
      </c>
      <c r="D7326" s="2">
        <v>42409</v>
      </c>
      <c r="E7326" s="1" t="s">
        <v>18</v>
      </c>
      <c r="F7326" t="str">
        <f>HYPERLINK("http://www.sec.gov/Archives/edgar/data/731766/0000731766-16-000058-index.html")</f>
        <v>http://www.sec.gov/Archives/edgar/data/731766/0000731766-16-000058-index.html</v>
      </c>
    </row>
    <row r="7327" spans="1:6" x14ac:dyDescent="0.2">
      <c r="A7327" t="s">
        <v>6738</v>
      </c>
      <c r="B7327" s="1">
        <v>765880</v>
      </c>
      <c r="C7327" s="1">
        <v>6798</v>
      </c>
      <c r="D7327" s="2">
        <v>42409</v>
      </c>
      <c r="E7327" s="1" t="s">
        <v>18</v>
      </c>
      <c r="F7327" t="str">
        <f>HYPERLINK("http://www.sec.gov/Archives/edgar/data/765880/0001558370-16-003110-index.html")</f>
        <v>http://www.sec.gov/Archives/edgar/data/765880/0001558370-16-003110-index.html</v>
      </c>
    </row>
    <row r="7328" spans="1:6" x14ac:dyDescent="0.2">
      <c r="A7328" t="s">
        <v>6739</v>
      </c>
      <c r="B7328" s="1">
        <v>820081</v>
      </c>
      <c r="C7328" s="1">
        <v>2834</v>
      </c>
      <c r="D7328" s="2">
        <v>42409</v>
      </c>
      <c r="E7328" s="1" t="s">
        <v>18</v>
      </c>
      <c r="F7328" t="str">
        <f>HYPERLINK("http://www.sec.gov/Archives/edgar/data/820081/0001437749-16-024955-index.html")</f>
        <v>http://www.sec.gov/Archives/edgar/data/820081/0001437749-16-024955-index.html</v>
      </c>
    </row>
    <row r="7329" spans="1:6" x14ac:dyDescent="0.2">
      <c r="A7329" t="s">
        <v>6740</v>
      </c>
      <c r="B7329" s="1">
        <v>830616</v>
      </c>
      <c r="C7329" s="1">
        <v>3620</v>
      </c>
      <c r="D7329" s="2">
        <v>42409</v>
      </c>
      <c r="E7329" s="1" t="s">
        <v>18</v>
      </c>
      <c r="F7329" t="str">
        <f>HYPERLINK("http://www.sec.gov/Archives/edgar/data/830616/0001144204-16-079960-index.html")</f>
        <v>http://www.sec.gov/Archives/edgar/data/830616/0001144204-16-079960-index.html</v>
      </c>
    </row>
    <row r="7330" spans="1:6" x14ac:dyDescent="0.2">
      <c r="A7330" t="s">
        <v>6741</v>
      </c>
      <c r="B7330" s="1">
        <v>842162</v>
      </c>
      <c r="C7330" s="1">
        <v>3714</v>
      </c>
      <c r="D7330" s="2">
        <v>42409</v>
      </c>
      <c r="E7330" s="1" t="s">
        <v>18</v>
      </c>
      <c r="F7330" t="str">
        <f>HYPERLINK("http://www.sec.gov/Archives/edgar/data/842162/0000842162-16-000019-index.html")</f>
        <v>http://www.sec.gov/Archives/edgar/data/842162/0000842162-16-000019-index.html</v>
      </c>
    </row>
    <row r="7331" spans="1:6" x14ac:dyDescent="0.2">
      <c r="A7331" t="s">
        <v>6742</v>
      </c>
      <c r="B7331" s="1">
        <v>921082</v>
      </c>
      <c r="C7331" s="1">
        <v>6798</v>
      </c>
      <c r="D7331" s="2">
        <v>42409</v>
      </c>
      <c r="E7331" s="1" t="s">
        <v>18</v>
      </c>
      <c r="F7331" t="str">
        <f>HYPERLINK("http://www.sec.gov/Archives/edgar/data/921082/0000921082-16-000057-index.html")</f>
        <v>http://www.sec.gov/Archives/edgar/data/921082/0000921082-16-000057-index.html</v>
      </c>
    </row>
    <row r="7332" spans="1:6" x14ac:dyDescent="0.2">
      <c r="A7332" t="s">
        <v>6743</v>
      </c>
      <c r="B7332" s="1">
        <v>941713</v>
      </c>
      <c r="C7332" s="1">
        <v>6519</v>
      </c>
      <c r="D7332" s="2">
        <v>42409</v>
      </c>
      <c r="E7332" s="1" t="s">
        <v>18</v>
      </c>
      <c r="F7332" t="str">
        <f>HYPERLINK("http://www.sec.gov/Archives/edgar/data/941713/0000921082-16-000057-index.html")</f>
        <v>http://www.sec.gov/Archives/edgar/data/941713/0000921082-16-000057-index.html</v>
      </c>
    </row>
    <row r="7333" spans="1:6" x14ac:dyDescent="0.2">
      <c r="A7333" t="s">
        <v>6744</v>
      </c>
      <c r="B7333" s="1">
        <v>1172222</v>
      </c>
      <c r="C7333" s="1">
        <v>4512</v>
      </c>
      <c r="D7333" s="2">
        <v>42408</v>
      </c>
      <c r="E7333" s="1" t="s">
        <v>18</v>
      </c>
      <c r="F7333" t="str">
        <f>HYPERLINK("http://www.sec.gov/Archives/edgar/data/1172222/0001172222-16-000095-index.html")</f>
        <v>http://www.sec.gov/Archives/edgar/data/1172222/0001172222-16-000095-index.html</v>
      </c>
    </row>
    <row r="7334" spans="1:6" x14ac:dyDescent="0.2">
      <c r="A7334" t="s">
        <v>6745</v>
      </c>
      <c r="B7334" s="1">
        <v>1444839</v>
      </c>
      <c r="C7334" s="1">
        <v>1040</v>
      </c>
      <c r="D7334" s="2">
        <v>42408</v>
      </c>
      <c r="E7334" s="1" t="s">
        <v>18</v>
      </c>
      <c r="F7334" t="str">
        <f>HYPERLINK("http://www.sec.gov/Archives/edgar/data/1444839/0001091818-16-000216-index.html")</f>
        <v>http://www.sec.gov/Archives/edgar/data/1444839/0001091818-16-000216-index.html</v>
      </c>
    </row>
    <row r="7335" spans="1:6" x14ac:dyDescent="0.2">
      <c r="A7335" t="s">
        <v>6746</v>
      </c>
      <c r="B7335" s="1">
        <v>1521332</v>
      </c>
      <c r="C7335" s="1">
        <v>3714</v>
      </c>
      <c r="D7335" s="2">
        <v>42408</v>
      </c>
      <c r="E7335" s="1" t="s">
        <v>18</v>
      </c>
      <c r="F7335" t="str">
        <f>HYPERLINK("http://www.sec.gov/Archives/edgar/data/1521332/0001521332-16-000084-index.html")</f>
        <v>http://www.sec.gov/Archives/edgar/data/1521332/0001521332-16-000084-index.html</v>
      </c>
    </row>
    <row r="7336" spans="1:6" x14ac:dyDescent="0.2">
      <c r="A7336" t="s">
        <v>6747</v>
      </c>
      <c r="B7336" s="1">
        <v>1527727</v>
      </c>
      <c r="C7336" s="1">
        <v>6770</v>
      </c>
      <c r="D7336" s="2">
        <v>42408</v>
      </c>
      <c r="E7336" s="1" t="s">
        <v>21</v>
      </c>
      <c r="F7336" t="str">
        <f>HYPERLINK("http://www.sec.gov/Archives/edgar/data/1527727/0001437749-16-024924-index.html")</f>
        <v>http://www.sec.gov/Archives/edgar/data/1527727/0001437749-16-024924-index.html</v>
      </c>
    </row>
    <row r="7337" spans="1:6" x14ac:dyDescent="0.2">
      <c r="A7337" t="s">
        <v>6748</v>
      </c>
      <c r="B7337" s="1">
        <v>1533998</v>
      </c>
      <c r="C7337" s="1">
        <v>3841</v>
      </c>
      <c r="D7337" s="2">
        <v>42408</v>
      </c>
      <c r="E7337" s="1" t="s">
        <v>18</v>
      </c>
      <c r="F7337" t="str">
        <f>HYPERLINK("http://www.sec.gov/Archives/edgar/data/1533998/0001144204-16-079581-index.html")</f>
        <v>http://www.sec.gov/Archives/edgar/data/1533998/0001144204-16-079581-index.html</v>
      </c>
    </row>
    <row r="7338" spans="1:6" x14ac:dyDescent="0.2">
      <c r="A7338" t="s">
        <v>6749</v>
      </c>
      <c r="B7338" s="1">
        <v>1543418</v>
      </c>
      <c r="C7338" s="1">
        <v>1040</v>
      </c>
      <c r="D7338" s="2">
        <v>42408</v>
      </c>
      <c r="E7338" s="1" t="s">
        <v>18</v>
      </c>
      <c r="F7338" t="str">
        <f>HYPERLINK("http://www.sec.gov/Archives/edgar/data/1543418/0001062993-16-007558-index.html")</f>
        <v>http://www.sec.gov/Archives/edgar/data/1543418/0001062993-16-007558-index.html</v>
      </c>
    </row>
    <row r="7339" spans="1:6" x14ac:dyDescent="0.2">
      <c r="A7339" t="s">
        <v>6750</v>
      </c>
      <c r="B7339" s="1">
        <v>40533</v>
      </c>
      <c r="C7339" s="1">
        <v>3730</v>
      </c>
      <c r="D7339" s="2">
        <v>42408</v>
      </c>
      <c r="E7339" s="1" t="s">
        <v>18</v>
      </c>
      <c r="F7339" t="str">
        <f>HYPERLINK("http://www.sec.gov/Archives/edgar/data/40533/0000040533-16-000056-index.html")</f>
        <v>http://www.sec.gov/Archives/edgar/data/40533/0000040533-16-000056-index.html</v>
      </c>
    </row>
    <row r="7340" spans="1:6" x14ac:dyDescent="0.2">
      <c r="A7340" t="s">
        <v>6751</v>
      </c>
      <c r="B7340" s="1">
        <v>702165</v>
      </c>
      <c r="C7340" s="1">
        <v>4011</v>
      </c>
      <c r="D7340" s="2">
        <v>42408</v>
      </c>
      <c r="E7340" s="1" t="s">
        <v>18</v>
      </c>
      <c r="F7340" t="str">
        <f>HYPERLINK("http://www.sec.gov/Archives/edgar/data/702165/0000702165-16-000162-index.html")</f>
        <v>http://www.sec.gov/Archives/edgar/data/702165/0000702165-16-000162-index.html</v>
      </c>
    </row>
    <row r="7341" spans="1:6" x14ac:dyDescent="0.2">
      <c r="A7341" t="s">
        <v>6752</v>
      </c>
      <c r="B7341" s="1">
        <v>790051</v>
      </c>
      <c r="C7341" s="1">
        <v>3060</v>
      </c>
      <c r="D7341" s="2">
        <v>42408</v>
      </c>
      <c r="E7341" s="1" t="s">
        <v>18</v>
      </c>
      <c r="F7341" t="str">
        <f>HYPERLINK("http://www.sec.gov/Archives/edgar/data/790051/0001047469-16-010052-index.html")</f>
        <v>http://www.sec.gov/Archives/edgar/data/790051/0001047469-16-010052-index.html</v>
      </c>
    </row>
    <row r="7342" spans="1:6" x14ac:dyDescent="0.2">
      <c r="A7342" t="s">
        <v>6753</v>
      </c>
      <c r="B7342" s="1">
        <v>822416</v>
      </c>
      <c r="C7342" s="1">
        <v>1531</v>
      </c>
      <c r="D7342" s="2">
        <v>42408</v>
      </c>
      <c r="E7342" s="1" t="s">
        <v>18</v>
      </c>
      <c r="F7342" t="str">
        <f>HYPERLINK("http://www.sec.gov/Archives/edgar/data/822416/0000822416-16-000048-index.html")</f>
        <v>http://www.sec.gov/Archives/edgar/data/822416/0000822416-16-000048-index.html</v>
      </c>
    </row>
    <row r="7343" spans="1:6" x14ac:dyDescent="0.2">
      <c r="A7343" t="s">
        <v>6754</v>
      </c>
      <c r="B7343" s="1">
        <v>899866</v>
      </c>
      <c r="C7343" s="1">
        <v>2834</v>
      </c>
      <c r="D7343" s="2">
        <v>42408</v>
      </c>
      <c r="E7343" s="1" t="s">
        <v>18</v>
      </c>
      <c r="F7343" t="str">
        <f>HYPERLINK("http://www.sec.gov/Archives/edgar/data/899866/0000899866-16-000226-index.html")</f>
        <v>http://www.sec.gov/Archives/edgar/data/899866/0000899866-16-000226-index.html</v>
      </c>
    </row>
    <row r="7344" spans="1:6" x14ac:dyDescent="0.2">
      <c r="A7344" t="s">
        <v>6755</v>
      </c>
      <c r="B7344" s="1">
        <v>100885</v>
      </c>
      <c r="C7344" s="1">
        <v>4011</v>
      </c>
      <c r="D7344" s="2">
        <v>42405</v>
      </c>
      <c r="E7344" s="1" t="s">
        <v>18</v>
      </c>
      <c r="F7344" t="str">
        <f>HYPERLINK("http://www.sec.gov/Archives/edgar/data/100885/0000100885-16-000260-index.html")</f>
        <v>http://www.sec.gov/Archives/edgar/data/100885/0000100885-16-000260-index.html</v>
      </c>
    </row>
    <row r="7345" spans="1:6" x14ac:dyDescent="0.2">
      <c r="A7345" t="s">
        <v>6756</v>
      </c>
      <c r="B7345" s="1">
        <v>1038074</v>
      </c>
      <c r="C7345" s="1">
        <v>3674</v>
      </c>
      <c r="D7345" s="2">
        <v>42405</v>
      </c>
      <c r="E7345" s="1" t="s">
        <v>18</v>
      </c>
      <c r="F7345" t="str">
        <f>HYPERLINK("http://www.sec.gov/Archives/edgar/data/1038074/0001047469-16-010039-index.html")</f>
        <v>http://www.sec.gov/Archives/edgar/data/1038074/0001047469-16-010039-index.html</v>
      </c>
    </row>
    <row r="7346" spans="1:6" x14ac:dyDescent="0.2">
      <c r="A7346" t="s">
        <v>6757</v>
      </c>
      <c r="B7346" s="1">
        <v>1056696</v>
      </c>
      <c r="C7346" s="1">
        <v>7372</v>
      </c>
      <c r="D7346" s="2">
        <v>42405</v>
      </c>
      <c r="E7346" s="1" t="s">
        <v>18</v>
      </c>
      <c r="F7346" t="str">
        <f>HYPERLINK("http://www.sec.gov/Archives/edgar/data/1056696/0001564590-16-012414-index.html")</f>
        <v>http://www.sec.gov/Archives/edgar/data/1056696/0001564590-16-012414-index.html</v>
      </c>
    </row>
    <row r="7347" spans="1:6" x14ac:dyDescent="0.2">
      <c r="A7347" t="s">
        <v>6758</v>
      </c>
      <c r="B7347" s="1">
        <v>1058090</v>
      </c>
      <c r="C7347" s="1">
        <v>5812</v>
      </c>
      <c r="D7347" s="2">
        <v>42405</v>
      </c>
      <c r="E7347" s="1" t="s">
        <v>18</v>
      </c>
      <c r="F7347" t="str">
        <f>HYPERLINK("http://www.sec.gov/Archives/edgar/data/1058090/0001058090-16-000058-index.html")</f>
        <v>http://www.sec.gov/Archives/edgar/data/1058090/0001058090-16-000058-index.html</v>
      </c>
    </row>
    <row r="7348" spans="1:6" x14ac:dyDescent="0.2">
      <c r="A7348" t="s">
        <v>6759</v>
      </c>
      <c r="B7348" s="1">
        <v>1070412</v>
      </c>
      <c r="C7348" s="1">
        <v>1221</v>
      </c>
      <c r="D7348" s="2">
        <v>42405</v>
      </c>
      <c r="E7348" s="1" t="s">
        <v>18</v>
      </c>
      <c r="F7348" t="str">
        <f>HYPERLINK("http://www.sec.gov/Archives/edgar/data/1070412/0001070412-16-000095-index.html")</f>
        <v>http://www.sec.gov/Archives/edgar/data/1070412/0001070412-16-000095-index.html</v>
      </c>
    </row>
    <row r="7349" spans="1:6" x14ac:dyDescent="0.2">
      <c r="A7349" t="s">
        <v>6760</v>
      </c>
      <c r="B7349" s="1">
        <v>1113169</v>
      </c>
      <c r="C7349" s="1">
        <v>6200</v>
      </c>
      <c r="D7349" s="2">
        <v>42405</v>
      </c>
      <c r="E7349" s="1" t="s">
        <v>18</v>
      </c>
      <c r="F7349" t="str">
        <f>HYPERLINK("http://www.sec.gov/Archives/edgar/data/1113169/0001113169-16-000033-index.html")</f>
        <v>http://www.sec.gov/Archives/edgar/data/1113169/0001113169-16-000033-index.html</v>
      </c>
    </row>
    <row r="7350" spans="1:6" x14ac:dyDescent="0.2">
      <c r="A7350" t="s">
        <v>6761</v>
      </c>
      <c r="B7350" s="1">
        <v>1166691</v>
      </c>
      <c r="C7350" s="1">
        <v>4841</v>
      </c>
      <c r="D7350" s="2">
        <v>42405</v>
      </c>
      <c r="E7350" s="1" t="s">
        <v>18</v>
      </c>
      <c r="F7350" t="str">
        <f>HYPERLINK("http://www.sec.gov/Archives/edgar/data/1166691/0001193125-16-452423-index.html")</f>
        <v>http://www.sec.gov/Archives/edgar/data/1166691/0001193125-16-452423-index.html</v>
      </c>
    </row>
    <row r="7351" spans="1:6" x14ac:dyDescent="0.2">
      <c r="A7351" t="s">
        <v>6762</v>
      </c>
      <c r="B7351" s="1">
        <v>1306830</v>
      </c>
      <c r="C7351" s="1">
        <v>2820</v>
      </c>
      <c r="D7351" s="2">
        <v>42405</v>
      </c>
      <c r="E7351" s="1" t="s">
        <v>18</v>
      </c>
      <c r="F7351" t="str">
        <f>HYPERLINK("http://www.sec.gov/Archives/edgar/data/1306830/0001306830-16-000212-index.html")</f>
        <v>http://www.sec.gov/Archives/edgar/data/1306830/0001306830-16-000212-index.html</v>
      </c>
    </row>
    <row r="7352" spans="1:6" x14ac:dyDescent="0.2">
      <c r="A7352" t="s">
        <v>6763</v>
      </c>
      <c r="B7352" s="1">
        <v>1343465</v>
      </c>
      <c r="C7352" s="1">
        <v>5812</v>
      </c>
      <c r="D7352" s="2">
        <v>42405</v>
      </c>
      <c r="E7352" s="1" t="s">
        <v>42</v>
      </c>
      <c r="F7352" t="str">
        <f>HYPERLINK("http://www.sec.gov/Archives/edgar/data/1343465/0001493152-16-007206-index.html")</f>
        <v>http://www.sec.gov/Archives/edgar/data/1343465/0001493152-16-007206-index.html</v>
      </c>
    </row>
    <row r="7353" spans="1:6" x14ac:dyDescent="0.2">
      <c r="A7353" t="s">
        <v>6764</v>
      </c>
      <c r="B7353" s="1">
        <v>1347452</v>
      </c>
      <c r="C7353" s="1">
        <v>3433</v>
      </c>
      <c r="D7353" s="2">
        <v>42405</v>
      </c>
      <c r="E7353" s="1" t="s">
        <v>42</v>
      </c>
      <c r="F7353" t="str">
        <f>HYPERLINK("http://www.sec.gov/Archives/edgar/data/1347452/0001347452-16-000087-index.html")</f>
        <v>http://www.sec.gov/Archives/edgar/data/1347452/0001347452-16-000087-index.html</v>
      </c>
    </row>
    <row r="7354" spans="1:6" x14ac:dyDescent="0.2">
      <c r="A7354" t="s">
        <v>6765</v>
      </c>
      <c r="B7354" s="1">
        <v>1359841</v>
      </c>
      <c r="C7354" s="1">
        <v>5600</v>
      </c>
      <c r="D7354" s="2">
        <v>42405</v>
      </c>
      <c r="E7354" s="1" t="s">
        <v>18</v>
      </c>
      <c r="F7354" t="str">
        <f>HYPERLINK("http://www.sec.gov/Archives/edgar/data/1359841/0001359841-16-000342-index.html")</f>
        <v>http://www.sec.gov/Archives/edgar/data/1359841/0001359841-16-000342-index.html</v>
      </c>
    </row>
    <row r="7355" spans="1:6" x14ac:dyDescent="0.2">
      <c r="A7355" t="s">
        <v>6766</v>
      </c>
      <c r="B7355" s="1">
        <v>1637558</v>
      </c>
      <c r="C7355" s="1">
        <v>1220</v>
      </c>
      <c r="D7355" s="2">
        <v>42405</v>
      </c>
      <c r="E7355" s="1" t="s">
        <v>18</v>
      </c>
      <c r="F7355" t="str">
        <f>HYPERLINK("http://www.sec.gov/Archives/edgar/data/1637558/0001637558-16-000040-index.html")</f>
        <v>http://www.sec.gov/Archives/edgar/data/1637558/0001637558-16-000040-index.html</v>
      </c>
    </row>
    <row r="7356" spans="1:6" x14ac:dyDescent="0.2">
      <c r="A7356" t="s">
        <v>6767</v>
      </c>
      <c r="B7356" s="1">
        <v>27904</v>
      </c>
      <c r="C7356" s="1">
        <v>4512</v>
      </c>
      <c r="D7356" s="2">
        <v>42405</v>
      </c>
      <c r="E7356" s="1" t="s">
        <v>18</v>
      </c>
      <c r="F7356" t="str">
        <f>HYPERLINK("http://www.sec.gov/Archives/edgar/data/27904/0000027904-16-000018-index.html")</f>
        <v>http://www.sec.gov/Archives/edgar/data/27904/0000027904-16-000018-index.html</v>
      </c>
    </row>
    <row r="7357" spans="1:6" x14ac:dyDescent="0.2">
      <c r="A7357" t="s">
        <v>6768</v>
      </c>
      <c r="B7357" s="1">
        <v>45012</v>
      </c>
      <c r="C7357" s="1">
        <v>1389</v>
      </c>
      <c r="D7357" s="2">
        <v>42405</v>
      </c>
      <c r="E7357" s="1" t="s">
        <v>18</v>
      </c>
      <c r="F7357" t="str">
        <f>HYPERLINK("http://www.sec.gov/Archives/edgar/data/45012/0000045012-16-000272-index.html")</f>
        <v>http://www.sec.gov/Archives/edgar/data/45012/0000045012-16-000272-index.html</v>
      </c>
    </row>
    <row r="7358" spans="1:6" x14ac:dyDescent="0.2">
      <c r="A7358" t="s">
        <v>6769</v>
      </c>
      <c r="B7358" s="1">
        <v>7536</v>
      </c>
      <c r="C7358" s="1">
        <v>5065</v>
      </c>
      <c r="D7358" s="2">
        <v>42405</v>
      </c>
      <c r="E7358" s="1" t="s">
        <v>18</v>
      </c>
      <c r="F7358" t="str">
        <f>HYPERLINK("http://www.sec.gov/Archives/edgar/data/7536/0001650030-16-000009-index.html")</f>
        <v>http://www.sec.gov/Archives/edgar/data/7536/0001650030-16-000009-index.html</v>
      </c>
    </row>
    <row r="7359" spans="1:6" x14ac:dyDescent="0.2">
      <c r="A7359" t="s">
        <v>6770</v>
      </c>
      <c r="B7359" s="1">
        <v>7789</v>
      </c>
      <c r="C7359" s="1">
        <v>6022</v>
      </c>
      <c r="D7359" s="2">
        <v>42405</v>
      </c>
      <c r="E7359" s="1" t="s">
        <v>18</v>
      </c>
      <c r="F7359" t="str">
        <f>HYPERLINK("http://www.sec.gov/Archives/edgar/data/7789/0000007789-16-000035-index.html")</f>
        <v>http://www.sec.gov/Archives/edgar/data/7789/0000007789-16-000035-index.html</v>
      </c>
    </row>
    <row r="7360" spans="1:6" x14ac:dyDescent="0.2">
      <c r="A7360" t="s">
        <v>6771</v>
      </c>
      <c r="B7360" s="1">
        <v>815556</v>
      </c>
      <c r="C7360" s="1">
        <v>5200</v>
      </c>
      <c r="D7360" s="2">
        <v>42405</v>
      </c>
      <c r="E7360" s="1" t="s">
        <v>18</v>
      </c>
      <c r="F7360" t="str">
        <f>HYPERLINK("http://www.sec.gov/Archives/edgar/data/815556/0000815556-16-000087-index.html")</f>
        <v>http://www.sec.gov/Archives/edgar/data/815556/0000815556-16-000087-index.html</v>
      </c>
    </row>
    <row r="7361" spans="1:6" x14ac:dyDescent="0.2">
      <c r="A7361" t="s">
        <v>6772</v>
      </c>
      <c r="B7361" s="1">
        <v>902739</v>
      </c>
      <c r="C7361" s="1">
        <v>4841</v>
      </c>
      <c r="D7361" s="2">
        <v>42405</v>
      </c>
      <c r="E7361" s="1" t="s">
        <v>18</v>
      </c>
      <c r="F7361" t="str">
        <f>HYPERLINK("http://www.sec.gov/Archives/edgar/data/902739/0001193125-16-452423-index.html")</f>
        <v>http://www.sec.gov/Archives/edgar/data/902739/0001193125-16-452423-index.html</v>
      </c>
    </row>
    <row r="7362" spans="1:6" x14ac:dyDescent="0.2">
      <c r="A7362" t="s">
        <v>6773</v>
      </c>
      <c r="B7362" s="1">
        <v>911109</v>
      </c>
      <c r="C7362" s="1">
        <v>3443</v>
      </c>
      <c r="D7362" s="2">
        <v>42405</v>
      </c>
      <c r="E7362" s="1" t="s">
        <v>18</v>
      </c>
      <c r="F7362" t="str">
        <f>HYPERLINK("http://www.sec.gov/Archives/edgar/data/911109/0001564590-16-012409-index.html")</f>
        <v>http://www.sec.gov/Archives/edgar/data/911109/0001564590-16-012409-index.html</v>
      </c>
    </row>
    <row r="7363" spans="1:6" x14ac:dyDescent="0.2">
      <c r="A7363" t="s">
        <v>6774</v>
      </c>
      <c r="B7363" s="1">
        <v>1022505</v>
      </c>
      <c r="C7363" s="1">
        <v>7374</v>
      </c>
      <c r="D7363" s="2">
        <v>42404</v>
      </c>
      <c r="E7363" s="1" t="s">
        <v>42</v>
      </c>
      <c r="F7363" t="str">
        <f>HYPERLINK("http://www.sec.gov/Archives/edgar/data/1022505/0000721748-16-000975-index.html")</f>
        <v>http://www.sec.gov/Archives/edgar/data/1022505/0000721748-16-000975-index.html</v>
      </c>
    </row>
    <row r="7364" spans="1:6" x14ac:dyDescent="0.2">
      <c r="A7364" t="s">
        <v>6775</v>
      </c>
      <c r="B7364" s="1">
        <v>1037646</v>
      </c>
      <c r="C7364" s="1">
        <v>3826</v>
      </c>
      <c r="D7364" s="2">
        <v>42404</v>
      </c>
      <c r="E7364" s="1" t="s">
        <v>18</v>
      </c>
      <c r="F7364" t="str">
        <f>HYPERLINK("http://www.sec.gov/Archives/edgar/data/1037646/0001037646-16-000043-index.html")</f>
        <v>http://www.sec.gov/Archives/edgar/data/1037646/0001037646-16-000043-index.html</v>
      </c>
    </row>
    <row r="7365" spans="1:6" x14ac:dyDescent="0.2">
      <c r="A7365" t="s">
        <v>6776</v>
      </c>
      <c r="B7365" s="1">
        <v>1131096</v>
      </c>
      <c r="C7365" s="1">
        <v>7389</v>
      </c>
      <c r="D7365" s="2">
        <v>42404</v>
      </c>
      <c r="E7365" s="1" t="s">
        <v>18</v>
      </c>
      <c r="F7365" t="str">
        <f>HYPERLINK("http://www.sec.gov/Archives/edgar/data/1131096/0001131096-16-000248-index.html")</f>
        <v>http://www.sec.gov/Archives/edgar/data/1131096/0001131096-16-000248-index.html</v>
      </c>
    </row>
    <row r="7366" spans="1:6" x14ac:dyDescent="0.2">
      <c r="A7366" t="s">
        <v>6777</v>
      </c>
      <c r="B7366" s="1">
        <v>1571949</v>
      </c>
      <c r="C7366" s="1">
        <v>6200</v>
      </c>
      <c r="D7366" s="2">
        <v>42404</v>
      </c>
      <c r="E7366" s="1" t="s">
        <v>18</v>
      </c>
      <c r="F7366" t="str">
        <f>HYPERLINK("http://www.sec.gov/Archives/edgar/data/1571949/0001571949-16-000020-index.html")</f>
        <v>http://www.sec.gov/Archives/edgar/data/1571949/0001571949-16-000020-index.html</v>
      </c>
    </row>
    <row r="7367" spans="1:6" x14ac:dyDescent="0.2">
      <c r="A7367" t="s">
        <v>6778</v>
      </c>
      <c r="B7367" s="1">
        <v>1582576</v>
      </c>
      <c r="C7367" s="1">
        <v>6770</v>
      </c>
      <c r="D7367" s="2">
        <v>42404</v>
      </c>
      <c r="E7367" s="1" t="s">
        <v>42</v>
      </c>
      <c r="F7367" t="str">
        <f>HYPERLINK("http://www.sec.gov/Archives/edgar/data/1582576/0001582586-16-000055-index.html")</f>
        <v>http://www.sec.gov/Archives/edgar/data/1582576/0001582586-16-000055-index.html</v>
      </c>
    </row>
    <row r="7368" spans="1:6" x14ac:dyDescent="0.2">
      <c r="A7368" t="s">
        <v>6779</v>
      </c>
      <c r="B7368" s="1">
        <v>30554</v>
      </c>
      <c r="C7368" s="1">
        <v>2820</v>
      </c>
      <c r="D7368" s="2">
        <v>42404</v>
      </c>
      <c r="E7368" s="1" t="s">
        <v>18</v>
      </c>
      <c r="F7368" t="str">
        <f>HYPERLINK("http://www.sec.gov/Archives/edgar/data/30554/0000030554-16-000106-index.html")</f>
        <v>http://www.sec.gov/Archives/edgar/data/30554/0000030554-16-000106-index.html</v>
      </c>
    </row>
    <row r="7369" spans="1:6" x14ac:dyDescent="0.2">
      <c r="A7369" t="s">
        <v>6780</v>
      </c>
      <c r="B7369" s="1">
        <v>39263</v>
      </c>
      <c r="C7369" s="1">
        <v>6021</v>
      </c>
      <c r="D7369" s="2">
        <v>42404</v>
      </c>
      <c r="E7369" s="1" t="s">
        <v>18</v>
      </c>
      <c r="F7369" t="str">
        <f>HYPERLINK("http://www.sec.gov/Archives/edgar/data/39263/0000039263-16-000073-index.html")</f>
        <v>http://www.sec.gov/Archives/edgar/data/39263/0000039263-16-000073-index.html</v>
      </c>
    </row>
    <row r="7370" spans="1:6" x14ac:dyDescent="0.2">
      <c r="A7370" t="s">
        <v>6781</v>
      </c>
      <c r="B7370" s="1">
        <v>717605</v>
      </c>
      <c r="C7370" s="1">
        <v>2821</v>
      </c>
      <c r="D7370" s="2">
        <v>42404</v>
      </c>
      <c r="E7370" s="1" t="s">
        <v>18</v>
      </c>
      <c r="F7370" t="str">
        <f>HYPERLINK("http://www.sec.gov/Archives/edgar/data/717605/0001564590-16-012334-index.html")</f>
        <v>http://www.sec.gov/Archives/edgar/data/717605/0001564590-16-012334-index.html</v>
      </c>
    </row>
    <row r="7371" spans="1:6" x14ac:dyDescent="0.2">
      <c r="A7371" t="s">
        <v>6782</v>
      </c>
      <c r="B7371" s="1">
        <v>941604</v>
      </c>
      <c r="C7371" s="1">
        <v>7200</v>
      </c>
      <c r="D7371" s="2">
        <v>42404</v>
      </c>
      <c r="E7371" s="1" t="s">
        <v>18</v>
      </c>
      <c r="F7371" t="str">
        <f>HYPERLINK("http://www.sec.gov/Archives/edgar/data/941604/0001628280-16-010759-index.html")</f>
        <v>http://www.sec.gov/Archives/edgar/data/941604/0001628280-16-010759-index.html</v>
      </c>
    </row>
    <row r="7372" spans="1:6" x14ac:dyDescent="0.2">
      <c r="A7372" t="s">
        <v>6783</v>
      </c>
      <c r="B7372" s="1">
        <v>1035443</v>
      </c>
      <c r="C7372" s="1">
        <v>6798</v>
      </c>
      <c r="D7372" s="2">
        <v>42403</v>
      </c>
      <c r="E7372" s="1" t="s">
        <v>18</v>
      </c>
      <c r="F7372" t="str">
        <f>HYPERLINK("http://www.sec.gov/Archives/edgar/data/1035443/0001035443-16-000136-index.html")</f>
        <v>http://www.sec.gov/Archives/edgar/data/1035443/0001035443-16-000136-index.html</v>
      </c>
    </row>
    <row r="7373" spans="1:6" x14ac:dyDescent="0.2">
      <c r="A7373" t="s">
        <v>503</v>
      </c>
      <c r="B7373" s="1">
        <v>1082733</v>
      </c>
      <c r="C7373" s="1">
        <v>4731</v>
      </c>
      <c r="D7373" s="2">
        <v>42403</v>
      </c>
      <c r="E7373" s="1" t="s">
        <v>18</v>
      </c>
      <c r="F7373" t="str">
        <f>HYPERLINK("http://www.sec.gov/Archives/edgar/data/1082733/0001493152-16-007114-index.html")</f>
        <v>http://www.sec.gov/Archives/edgar/data/1082733/0001493152-16-007114-index.html</v>
      </c>
    </row>
    <row r="7374" spans="1:6" x14ac:dyDescent="0.2">
      <c r="A7374" t="s">
        <v>173</v>
      </c>
      <c r="B7374" s="1">
        <v>1338929</v>
      </c>
      <c r="C7374" s="1">
        <v>5130</v>
      </c>
      <c r="D7374" s="2">
        <v>42403</v>
      </c>
      <c r="E7374" s="1" t="s">
        <v>18</v>
      </c>
      <c r="F7374" t="str">
        <f>HYPERLINK("http://www.sec.gov/Archives/edgar/data/1338929/0001010549-16-000451-index.html")</f>
        <v>http://www.sec.gov/Archives/edgar/data/1338929/0001010549-16-000451-index.html</v>
      </c>
    </row>
    <row r="7375" spans="1:6" x14ac:dyDescent="0.2">
      <c r="A7375" t="s">
        <v>6784</v>
      </c>
      <c r="B7375" s="1">
        <v>1467858</v>
      </c>
      <c r="C7375" s="1">
        <v>3711</v>
      </c>
      <c r="D7375" s="2">
        <v>42403</v>
      </c>
      <c r="E7375" s="1" t="s">
        <v>18</v>
      </c>
      <c r="F7375" t="str">
        <f>HYPERLINK("http://www.sec.gov/Archives/edgar/data/1467858/0001467858-16-000255-index.html")</f>
        <v>http://www.sec.gov/Archives/edgar/data/1467858/0001467858-16-000255-index.html</v>
      </c>
    </row>
    <row r="7376" spans="1:6" x14ac:dyDescent="0.2">
      <c r="A7376" t="s">
        <v>6785</v>
      </c>
      <c r="B7376" s="1">
        <v>1592782</v>
      </c>
      <c r="C7376" s="1">
        <v>8742</v>
      </c>
      <c r="D7376" s="2">
        <v>42403</v>
      </c>
      <c r="E7376" s="1" t="s">
        <v>18</v>
      </c>
      <c r="F7376" t="str">
        <f>HYPERLINK("http://www.sec.gov/Archives/edgar/data/1592782/0001354488-16-006058-index.html")</f>
        <v>http://www.sec.gov/Archives/edgar/data/1592782/0001354488-16-006058-index.html</v>
      </c>
    </row>
    <row r="7377" spans="1:6" x14ac:dyDescent="0.2">
      <c r="A7377" t="s">
        <v>6786</v>
      </c>
      <c r="B7377" s="1">
        <v>7623</v>
      </c>
      <c r="C7377" s="1">
        <v>3523</v>
      </c>
      <c r="D7377" s="2">
        <v>42403</v>
      </c>
      <c r="E7377" s="1" t="s">
        <v>18</v>
      </c>
      <c r="F7377" t="str">
        <f>HYPERLINK("http://www.sec.gov/Archives/edgar/data/7623/0001437749-16-024657-index.html")</f>
        <v>http://www.sec.gov/Archives/edgar/data/7623/0001437749-16-024657-index.html</v>
      </c>
    </row>
    <row r="7378" spans="1:6" x14ac:dyDescent="0.2">
      <c r="A7378" t="s">
        <v>6787</v>
      </c>
      <c r="B7378" s="1">
        <v>773141</v>
      </c>
      <c r="C7378" s="1">
        <v>1531</v>
      </c>
      <c r="D7378" s="2">
        <v>42403</v>
      </c>
      <c r="E7378" s="1" t="s">
        <v>18</v>
      </c>
      <c r="F7378" t="str">
        <f>HYPERLINK("http://www.sec.gov/Archives/edgar/data/773141/0001437749-16-024659-index.html")</f>
        <v>http://www.sec.gov/Archives/edgar/data/773141/0001437749-16-024659-index.html</v>
      </c>
    </row>
    <row r="7379" spans="1:6" x14ac:dyDescent="0.2">
      <c r="A7379" t="s">
        <v>6788</v>
      </c>
      <c r="B7379" s="1">
        <v>804269</v>
      </c>
      <c r="C7379" s="1">
        <v>6199</v>
      </c>
      <c r="D7379" s="2">
        <v>42403</v>
      </c>
      <c r="E7379" s="1" t="s">
        <v>18</v>
      </c>
      <c r="F7379" t="str">
        <f>HYPERLINK("http://www.sec.gov/Archives/edgar/data/804269/0000804269-16-000008-index.html")</f>
        <v>http://www.sec.gov/Archives/edgar/data/804269/0000804269-16-000008-index.html</v>
      </c>
    </row>
    <row r="7380" spans="1:6" x14ac:dyDescent="0.2">
      <c r="A7380" t="s">
        <v>6789</v>
      </c>
      <c r="B7380" s="1">
        <v>875045</v>
      </c>
      <c r="C7380" s="1">
        <v>2836</v>
      </c>
      <c r="D7380" s="2">
        <v>42403</v>
      </c>
      <c r="E7380" s="1" t="s">
        <v>18</v>
      </c>
      <c r="F7380" t="str">
        <f>HYPERLINK("http://www.sec.gov/Archives/edgar/data/875045/0000875045-16-000042-index.html")</f>
        <v>http://www.sec.gov/Archives/edgar/data/875045/0000875045-16-000042-index.html</v>
      </c>
    </row>
    <row r="7381" spans="1:6" x14ac:dyDescent="0.2">
      <c r="A7381" t="s">
        <v>6790</v>
      </c>
      <c r="B7381" s="1">
        <v>92380</v>
      </c>
      <c r="C7381" s="1">
        <v>4512</v>
      </c>
      <c r="D7381" s="2">
        <v>42403</v>
      </c>
      <c r="E7381" s="1" t="s">
        <v>18</v>
      </c>
      <c r="F7381" t="str">
        <f>HYPERLINK("http://www.sec.gov/Archives/edgar/data/92380/0000092380-16-000175-index.html")</f>
        <v>http://www.sec.gov/Archives/edgar/data/92380/0000092380-16-000175-index.html</v>
      </c>
    </row>
    <row r="7382" spans="1:6" x14ac:dyDescent="0.2">
      <c r="A7382" t="s">
        <v>6791</v>
      </c>
      <c r="B7382" s="1">
        <v>1035267</v>
      </c>
      <c r="C7382" s="1">
        <v>3842</v>
      </c>
      <c r="D7382" s="2">
        <v>42402</v>
      </c>
      <c r="E7382" s="1" t="s">
        <v>18</v>
      </c>
      <c r="F7382" t="str">
        <f>HYPERLINK("http://www.sec.gov/Archives/edgar/data/1035267/0001035267-16-000130-index.html")</f>
        <v>http://www.sec.gov/Archives/edgar/data/1035267/0001035267-16-000130-index.html</v>
      </c>
    </row>
    <row r="7383" spans="1:6" x14ac:dyDescent="0.2">
      <c r="A7383" t="s">
        <v>666</v>
      </c>
      <c r="B7383" s="1">
        <v>1403570</v>
      </c>
      <c r="C7383" s="1">
        <v>1000</v>
      </c>
      <c r="D7383" s="2">
        <v>42402</v>
      </c>
      <c r="E7383" s="1" t="s">
        <v>42</v>
      </c>
      <c r="F7383" t="str">
        <f>HYPERLINK("http://www.sec.gov/Archives/edgar/data/1403570/0001104659-16-093288-index.html")</f>
        <v>http://www.sec.gov/Archives/edgar/data/1403570/0001104659-16-093288-index.html</v>
      </c>
    </row>
    <row r="7384" spans="1:6" x14ac:dyDescent="0.2">
      <c r="A7384" t="s">
        <v>6792</v>
      </c>
      <c r="B7384" s="1">
        <v>1477294</v>
      </c>
      <c r="C7384" s="1">
        <v>3823</v>
      </c>
      <c r="D7384" s="2">
        <v>42402</v>
      </c>
      <c r="E7384" s="1" t="s">
        <v>18</v>
      </c>
      <c r="F7384" t="str">
        <f>HYPERLINK("http://www.sec.gov/Archives/edgar/data/1477294/0001477294-16-000154-index.html")</f>
        <v>http://www.sec.gov/Archives/edgar/data/1477294/0001477294-16-000154-index.html</v>
      </c>
    </row>
    <row r="7385" spans="1:6" x14ac:dyDescent="0.2">
      <c r="A7385" t="s">
        <v>745</v>
      </c>
      <c r="B7385" s="1">
        <v>1487843</v>
      </c>
      <c r="C7385" s="1">
        <v>6500</v>
      </c>
      <c r="D7385" s="2">
        <v>42402</v>
      </c>
      <c r="E7385" s="1" t="s">
        <v>18</v>
      </c>
      <c r="F7385" t="str">
        <f>HYPERLINK("http://www.sec.gov/Archives/edgar/data/1487843/0001213900-16-010526-index.html")</f>
        <v>http://www.sec.gov/Archives/edgar/data/1487843/0001213900-16-010526-index.html</v>
      </c>
    </row>
    <row r="7386" spans="1:6" x14ac:dyDescent="0.2">
      <c r="A7386" t="s">
        <v>6793</v>
      </c>
      <c r="B7386" s="1">
        <v>715788</v>
      </c>
      <c r="C7386" s="1">
        <v>7600</v>
      </c>
      <c r="D7386" s="2">
        <v>42402</v>
      </c>
      <c r="E7386" s="1" t="s">
        <v>18</v>
      </c>
      <c r="F7386" t="str">
        <f>HYPERLINK("http://www.sec.gov/Archives/edgar/data/715788/0001477932-16-008376-index.html")</f>
        <v>http://www.sec.gov/Archives/edgar/data/715788/0001477932-16-008376-index.html</v>
      </c>
    </row>
    <row r="7387" spans="1:6" x14ac:dyDescent="0.2">
      <c r="A7387" t="s">
        <v>6794</v>
      </c>
      <c r="B7387" s="1">
        <v>908937</v>
      </c>
      <c r="C7387" s="1">
        <v>4832</v>
      </c>
      <c r="D7387" s="2">
        <v>42402</v>
      </c>
      <c r="E7387" s="1" t="s">
        <v>18</v>
      </c>
      <c r="F7387" t="str">
        <f>HYPERLINK("http://www.sec.gov/Archives/edgar/data/908937/0001564590-16-012174-index.html")</f>
        <v>http://www.sec.gov/Archives/edgar/data/908937/0001564590-16-012174-index.html</v>
      </c>
    </row>
    <row r="7388" spans="1:6" x14ac:dyDescent="0.2">
      <c r="A7388" t="s">
        <v>6795</v>
      </c>
      <c r="B7388" s="1">
        <v>1042418</v>
      </c>
      <c r="C7388" s="1">
        <v>8731</v>
      </c>
      <c r="D7388" s="2">
        <v>42401</v>
      </c>
      <c r="E7388" s="1" t="s">
        <v>18</v>
      </c>
      <c r="F7388" t="str">
        <f>HYPERLINK("http://www.sec.gov/Archives/edgar/data/1042418/0001193125-16-446037-index.html")</f>
        <v>http://www.sec.gov/Archives/edgar/data/1042418/0001193125-16-446037-index.html</v>
      </c>
    </row>
    <row r="7389" spans="1:6" x14ac:dyDescent="0.2">
      <c r="A7389" t="s">
        <v>6796</v>
      </c>
      <c r="B7389" s="1">
        <v>1065088</v>
      </c>
      <c r="C7389" s="1">
        <v>7389</v>
      </c>
      <c r="D7389" s="2">
        <v>42401</v>
      </c>
      <c r="E7389" s="1" t="s">
        <v>18</v>
      </c>
      <c r="F7389" t="str">
        <f>HYPERLINK("http://www.sec.gov/Archives/edgar/data/1065088/0001065088-16-000265-index.html")</f>
        <v>http://www.sec.gov/Archives/edgar/data/1065088/0001065088-16-000265-index.html</v>
      </c>
    </row>
    <row r="7390" spans="1:6" x14ac:dyDescent="0.2">
      <c r="A7390" t="s">
        <v>6797</v>
      </c>
      <c r="B7390" s="1">
        <v>1133421</v>
      </c>
      <c r="C7390" s="1">
        <v>3812</v>
      </c>
      <c r="D7390" s="2">
        <v>42401</v>
      </c>
      <c r="E7390" s="1" t="s">
        <v>18</v>
      </c>
      <c r="F7390" t="str">
        <f>HYPERLINK("http://www.sec.gov/Archives/edgar/data/1133421/0001133421-16-000065-index.html")</f>
        <v>http://www.sec.gov/Archives/edgar/data/1133421/0001133421-16-000065-index.html</v>
      </c>
    </row>
    <row r="7391" spans="1:6" x14ac:dyDescent="0.2">
      <c r="A7391" t="s">
        <v>6798</v>
      </c>
      <c r="B7391" s="1">
        <v>1273988</v>
      </c>
      <c r="C7391" s="1">
        <v>2834</v>
      </c>
      <c r="D7391" s="2">
        <v>42401</v>
      </c>
      <c r="E7391" s="1" t="s">
        <v>42</v>
      </c>
      <c r="F7391" t="str">
        <f>HYPERLINK("http://www.sec.gov/Archives/edgar/data/1273988/0001273988-16-000027-index.html")</f>
        <v>http://www.sec.gov/Archives/edgar/data/1273988/0001273988-16-000027-index.html</v>
      </c>
    </row>
    <row r="7392" spans="1:6" x14ac:dyDescent="0.2">
      <c r="A7392" t="s">
        <v>6799</v>
      </c>
      <c r="B7392" s="1">
        <v>1598893</v>
      </c>
      <c r="C7392" s="1">
        <v>2834</v>
      </c>
      <c r="D7392" s="2">
        <v>42401</v>
      </c>
      <c r="E7392" s="1" t="s">
        <v>18</v>
      </c>
      <c r="F7392" t="str">
        <f>HYPERLINK("http://www.sec.gov/Archives/edgar/data/1598893/0001079973-16-000780-index.html")</f>
        <v>http://www.sec.gov/Archives/edgar/data/1598893/0001079973-16-000780-index.html</v>
      </c>
    </row>
    <row r="7393" spans="1:6" x14ac:dyDescent="0.2">
      <c r="A7393" t="s">
        <v>6800</v>
      </c>
      <c r="B7393" s="1">
        <v>1650203</v>
      </c>
      <c r="C7393" s="1">
        <v>6770</v>
      </c>
      <c r="D7393" s="2">
        <v>42401</v>
      </c>
      <c r="E7393" s="1" t="s">
        <v>18</v>
      </c>
      <c r="F7393" t="str">
        <f>HYPERLINK("http://www.sec.gov/Archives/edgar/data/1650203/0001262463-16-000851-index.html")</f>
        <v>http://www.sec.gov/Archives/edgar/data/1650203/0001262463-16-000851-index.html</v>
      </c>
    </row>
    <row r="7394" spans="1:6" x14ac:dyDescent="0.2">
      <c r="A7394" t="s">
        <v>6801</v>
      </c>
      <c r="B7394" s="1">
        <v>1650204</v>
      </c>
      <c r="C7394" s="1">
        <v>6770</v>
      </c>
      <c r="D7394" s="2">
        <v>42401</v>
      </c>
      <c r="E7394" s="1" t="s">
        <v>18</v>
      </c>
      <c r="F7394" t="str">
        <f>HYPERLINK("http://www.sec.gov/Archives/edgar/data/1650204/0001262463-16-000850-index.html")</f>
        <v>http://www.sec.gov/Archives/edgar/data/1650204/0001262463-16-000850-index.html</v>
      </c>
    </row>
    <row r="7395" spans="1:6" x14ac:dyDescent="0.2">
      <c r="A7395" t="s">
        <v>6802</v>
      </c>
      <c r="B7395" s="1">
        <v>1650205</v>
      </c>
      <c r="C7395" s="1">
        <v>6770</v>
      </c>
      <c r="D7395" s="2">
        <v>42401</v>
      </c>
      <c r="E7395" s="1" t="s">
        <v>18</v>
      </c>
      <c r="F7395" t="str">
        <f>HYPERLINK("http://www.sec.gov/Archives/edgar/data/1650205/0001262463-16-000849-index.html")</f>
        <v>http://www.sec.gov/Archives/edgar/data/1650205/0001262463-16-000849-index.html</v>
      </c>
    </row>
    <row r="7396" spans="1:6" x14ac:dyDescent="0.2">
      <c r="A7396" t="s">
        <v>312</v>
      </c>
      <c r="B7396" s="1">
        <v>4127</v>
      </c>
      <c r="C7396" s="1">
        <v>3674</v>
      </c>
      <c r="D7396" s="2">
        <v>42401</v>
      </c>
      <c r="E7396" s="1" t="s">
        <v>42</v>
      </c>
      <c r="F7396" t="str">
        <f>HYPERLINK("http://www.sec.gov/Archives/edgar/data/4127/0000004127-16-000042-index.html")</f>
        <v>http://www.sec.gov/Archives/edgar/data/4127/0000004127-16-000042-index.html</v>
      </c>
    </row>
    <row r="7397" spans="1:6" x14ac:dyDescent="0.2">
      <c r="A7397" t="s">
        <v>444</v>
      </c>
      <c r="B7397" s="1">
        <v>73605</v>
      </c>
      <c r="C7397" s="1">
        <v>3728</v>
      </c>
      <c r="D7397" s="2">
        <v>42401</v>
      </c>
      <c r="E7397" s="1" t="s">
        <v>18</v>
      </c>
      <c r="F7397" t="str">
        <f>HYPERLINK("http://www.sec.gov/Archives/edgar/data/73605/0000073605-16-000012-index.html")</f>
        <v>http://www.sec.gov/Archives/edgar/data/73605/0000073605-16-000012-index.html</v>
      </c>
    </row>
    <row r="7398" spans="1:6" x14ac:dyDescent="0.2">
      <c r="A7398" t="s">
        <v>6803</v>
      </c>
      <c r="B7398" s="1">
        <v>1011452</v>
      </c>
      <c r="C7398" s="1">
        <v>7372</v>
      </c>
      <c r="D7398" s="2">
        <v>42398</v>
      </c>
      <c r="E7398" s="1" t="s">
        <v>18</v>
      </c>
      <c r="F7398" t="str">
        <f>HYPERLINK("http://www.sec.gov/Archives/edgar/data/1011452/0001011452-16-000020-index.html")</f>
        <v>http://www.sec.gov/Archives/edgar/data/1011452/0001011452-16-000020-index.html</v>
      </c>
    </row>
    <row r="7399" spans="1:6" x14ac:dyDescent="0.2">
      <c r="A7399" t="s">
        <v>6804</v>
      </c>
      <c r="B7399" s="1">
        <v>1018724</v>
      </c>
      <c r="C7399" s="1">
        <v>5961</v>
      </c>
      <c r="D7399" s="2">
        <v>42398</v>
      </c>
      <c r="E7399" s="1" t="s">
        <v>18</v>
      </c>
      <c r="F7399" t="str">
        <f>HYPERLINK("http://www.sec.gov/Archives/edgar/data/1018724/0001018724-16-000172-index.html")</f>
        <v>http://www.sec.gov/Archives/edgar/data/1018724/0001018724-16-000172-index.html</v>
      </c>
    </row>
    <row r="7400" spans="1:6" x14ac:dyDescent="0.2">
      <c r="A7400" t="s">
        <v>17</v>
      </c>
      <c r="B7400" s="1">
        <v>1076682</v>
      </c>
      <c r="C7400" s="1">
        <v>7372</v>
      </c>
      <c r="D7400" s="2">
        <v>42398</v>
      </c>
      <c r="E7400" s="1" t="s">
        <v>18</v>
      </c>
      <c r="F7400" t="str">
        <f>HYPERLINK("http://www.sec.gov/Archives/edgar/data/1076682/0001144204-16-077792-index.html")</f>
        <v>http://www.sec.gov/Archives/edgar/data/1076682/0001144204-16-077792-index.html</v>
      </c>
    </row>
    <row r="7401" spans="1:6" x14ac:dyDescent="0.2">
      <c r="A7401" t="s">
        <v>6805</v>
      </c>
      <c r="B7401" s="1">
        <v>1084580</v>
      </c>
      <c r="C7401" s="1">
        <v>6211</v>
      </c>
      <c r="D7401" s="2">
        <v>42398</v>
      </c>
      <c r="E7401" s="1" t="s">
        <v>18</v>
      </c>
      <c r="F7401" t="str">
        <f>HYPERLINK("http://www.sec.gov/Archives/edgar/data/1084580/0001084580-16-000017-index.html")</f>
        <v>http://www.sec.gov/Archives/edgar/data/1084580/0001084580-16-000017-index.html</v>
      </c>
    </row>
    <row r="7402" spans="1:6" x14ac:dyDescent="0.2">
      <c r="A7402" t="s">
        <v>6806</v>
      </c>
      <c r="B7402" s="1">
        <v>1123316</v>
      </c>
      <c r="C7402" s="1">
        <v>5140</v>
      </c>
      <c r="D7402" s="2">
        <v>42398</v>
      </c>
      <c r="E7402" s="1" t="s">
        <v>18</v>
      </c>
      <c r="F7402" t="str">
        <f>HYPERLINK("http://www.sec.gov/Archives/edgar/data/1123316/0001102624-16-002046-index.html")</f>
        <v>http://www.sec.gov/Archives/edgar/data/1123316/0001102624-16-002046-index.html</v>
      </c>
    </row>
    <row r="7403" spans="1:6" x14ac:dyDescent="0.2">
      <c r="A7403" t="s">
        <v>6807</v>
      </c>
      <c r="B7403" s="1">
        <v>1125259</v>
      </c>
      <c r="C7403" s="1">
        <v>4400</v>
      </c>
      <c r="D7403" s="2">
        <v>42398</v>
      </c>
      <c r="E7403" s="1" t="s">
        <v>18</v>
      </c>
      <c r="F7403" t="str">
        <f>HYPERLINK("http://www.sec.gov/Archives/edgar/data/1125259/0000815097-16-000030-index.html")</f>
        <v>http://www.sec.gov/Archives/edgar/data/1125259/0000815097-16-000030-index.html</v>
      </c>
    </row>
    <row r="7404" spans="1:6" x14ac:dyDescent="0.2">
      <c r="A7404" t="s">
        <v>4916</v>
      </c>
      <c r="B7404" s="1">
        <v>1304161</v>
      </c>
      <c r="C7404" s="1">
        <v>8742</v>
      </c>
      <c r="D7404" s="2">
        <v>42398</v>
      </c>
      <c r="E7404" s="1" t="s">
        <v>18</v>
      </c>
      <c r="F7404" t="str">
        <f>HYPERLINK("http://www.sec.gov/Archives/edgar/data/1304161/0001354488-16-006025-index.html")</f>
        <v>http://www.sec.gov/Archives/edgar/data/1304161/0001354488-16-006025-index.html</v>
      </c>
    </row>
    <row r="7405" spans="1:6" x14ac:dyDescent="0.2">
      <c r="A7405" t="s">
        <v>6808</v>
      </c>
      <c r="B7405" s="1">
        <v>1462047</v>
      </c>
      <c r="C7405" s="1">
        <v>7370</v>
      </c>
      <c r="D7405" s="2">
        <v>42398</v>
      </c>
      <c r="E7405" s="1" t="s">
        <v>18</v>
      </c>
      <c r="F7405" t="str">
        <f>HYPERLINK("http://www.sec.gov/Archives/edgar/data/1462047/0001019687-16-004966-index.html")</f>
        <v>http://www.sec.gov/Archives/edgar/data/1462047/0001019687-16-004966-index.html</v>
      </c>
    </row>
    <row r="7406" spans="1:6" x14ac:dyDescent="0.2">
      <c r="A7406" t="s">
        <v>6809</v>
      </c>
      <c r="B7406" s="1">
        <v>1516887</v>
      </c>
      <c r="C7406" s="1">
        <v>2834</v>
      </c>
      <c r="D7406" s="2">
        <v>42398</v>
      </c>
      <c r="E7406" s="1" t="s">
        <v>18</v>
      </c>
      <c r="F7406" t="str">
        <f>HYPERLINK("http://www.sec.gov/Archives/edgar/data/1516887/0001078782-16-002249-index.html")</f>
        <v>http://www.sec.gov/Archives/edgar/data/1516887/0001078782-16-002249-index.html</v>
      </c>
    </row>
    <row r="7407" spans="1:6" x14ac:dyDescent="0.2">
      <c r="A7407" t="s">
        <v>6810</v>
      </c>
      <c r="B7407" s="1">
        <v>1521476</v>
      </c>
      <c r="C7407" s="1">
        <v>5122</v>
      </c>
      <c r="D7407" s="2">
        <v>42398</v>
      </c>
      <c r="E7407" s="1" t="s">
        <v>18</v>
      </c>
      <c r="F7407" t="str">
        <f>HYPERLINK("http://www.sec.gov/Archives/edgar/data/1521476/0001019687-16-004968-index.html")</f>
        <v>http://www.sec.gov/Archives/edgar/data/1521476/0001019687-16-004968-index.html</v>
      </c>
    </row>
    <row r="7408" spans="1:6" x14ac:dyDescent="0.2">
      <c r="A7408" t="s">
        <v>6811</v>
      </c>
      <c r="B7408" s="1">
        <v>1566561</v>
      </c>
      <c r="C7408" s="1">
        <v>3670</v>
      </c>
      <c r="D7408" s="2">
        <v>42398</v>
      </c>
      <c r="E7408" s="1" t="s">
        <v>18</v>
      </c>
      <c r="F7408" t="str">
        <f>HYPERLINK("http://www.sec.gov/Archives/edgar/data/1566561/0001640334-16-000633-index.html")</f>
        <v>http://www.sec.gov/Archives/edgar/data/1566561/0001640334-16-000633-index.html</v>
      </c>
    </row>
    <row r="7409" spans="1:6" x14ac:dyDescent="0.2">
      <c r="A7409" t="s">
        <v>6812</v>
      </c>
      <c r="B7409" s="1">
        <v>1627554</v>
      </c>
      <c r="C7409" s="1">
        <v>3949</v>
      </c>
      <c r="D7409" s="2">
        <v>42398</v>
      </c>
      <c r="E7409" s="1" t="s">
        <v>18</v>
      </c>
      <c r="F7409" t="str">
        <f>HYPERLINK("http://www.sec.gov/Archives/edgar/data/1627554/0001477932-16-008346-index.html")</f>
        <v>http://www.sec.gov/Archives/edgar/data/1627554/0001477932-16-008346-index.html</v>
      </c>
    </row>
    <row r="7410" spans="1:6" x14ac:dyDescent="0.2">
      <c r="A7410" t="s">
        <v>6813</v>
      </c>
      <c r="B7410" s="1">
        <v>19149</v>
      </c>
      <c r="C7410" s="1">
        <v>2750</v>
      </c>
      <c r="D7410" s="2">
        <v>42398</v>
      </c>
      <c r="E7410" s="1" t="s">
        <v>18</v>
      </c>
      <c r="F7410" t="str">
        <f>HYPERLINK("http://www.sec.gov/Archives/edgar/data/19149/0000019149-16-000032-index.html")</f>
        <v>http://www.sec.gov/Archives/edgar/data/19149/0000019149-16-000032-index.html</v>
      </c>
    </row>
    <row r="7411" spans="1:6" x14ac:dyDescent="0.2">
      <c r="A7411" t="s">
        <v>6814</v>
      </c>
      <c r="B7411" s="1">
        <v>54480</v>
      </c>
      <c r="C7411" s="1">
        <v>4011</v>
      </c>
      <c r="D7411" s="2">
        <v>42398</v>
      </c>
      <c r="E7411" s="1" t="s">
        <v>18</v>
      </c>
      <c r="F7411" t="str">
        <f>HYPERLINK("http://www.sec.gov/Archives/edgar/data/54480/0000054480-16-000143-index.html")</f>
        <v>http://www.sec.gov/Archives/edgar/data/54480/0000054480-16-000143-index.html</v>
      </c>
    </row>
    <row r="7412" spans="1:6" x14ac:dyDescent="0.2">
      <c r="A7412" t="s">
        <v>6815</v>
      </c>
      <c r="B7412" s="1">
        <v>815093</v>
      </c>
      <c r="C7412" s="1">
        <v>3841</v>
      </c>
      <c r="D7412" s="2">
        <v>42398</v>
      </c>
      <c r="E7412" s="1" t="s">
        <v>18</v>
      </c>
      <c r="F7412" t="str">
        <f>HYPERLINK("http://www.sec.gov/Archives/edgar/data/815093/0000897101-16-001821-index.html")</f>
        <v>http://www.sec.gov/Archives/edgar/data/815093/0000897101-16-001821-index.html</v>
      </c>
    </row>
    <row r="7413" spans="1:6" x14ac:dyDescent="0.2">
      <c r="A7413" t="s">
        <v>6816</v>
      </c>
      <c r="B7413" s="1">
        <v>815097</v>
      </c>
      <c r="C7413" s="1">
        <v>4400</v>
      </c>
      <c r="D7413" s="2">
        <v>42398</v>
      </c>
      <c r="E7413" s="1" t="s">
        <v>18</v>
      </c>
      <c r="F7413" t="str">
        <f>HYPERLINK("http://www.sec.gov/Archives/edgar/data/815097/0000815097-16-000030-index.html")</f>
        <v>http://www.sec.gov/Archives/edgar/data/815097/0000815097-16-000030-index.html</v>
      </c>
    </row>
    <row r="7414" spans="1:6" x14ac:dyDescent="0.2">
      <c r="A7414" t="s">
        <v>6817</v>
      </c>
      <c r="B7414" s="1">
        <v>876167</v>
      </c>
      <c r="C7414" s="1">
        <v>7372</v>
      </c>
      <c r="D7414" s="2">
        <v>42398</v>
      </c>
      <c r="E7414" s="1" t="s">
        <v>18</v>
      </c>
      <c r="F7414" t="str">
        <f>HYPERLINK("http://www.sec.gov/Archives/edgar/data/876167/0000876167-16-000060-index.html")</f>
        <v>http://www.sec.gov/Archives/edgar/data/876167/0000876167-16-000060-index.html</v>
      </c>
    </row>
    <row r="7415" spans="1:6" x14ac:dyDescent="0.2">
      <c r="A7415" t="s">
        <v>215</v>
      </c>
      <c r="B7415" s="1">
        <v>90168</v>
      </c>
      <c r="C7415" s="1">
        <v>3724</v>
      </c>
      <c r="D7415" s="2">
        <v>42398</v>
      </c>
      <c r="E7415" s="1" t="s">
        <v>18</v>
      </c>
      <c r="F7415" t="str">
        <f>HYPERLINK("http://www.sec.gov/Archives/edgar/data/90168/0000090168-16-000058-index.html")</f>
        <v>http://www.sec.gov/Archives/edgar/data/90168/0000090168-16-000058-index.html</v>
      </c>
    </row>
    <row r="7416" spans="1:6" x14ac:dyDescent="0.2">
      <c r="A7416" t="s">
        <v>6818</v>
      </c>
      <c r="B7416" s="1">
        <v>941548</v>
      </c>
      <c r="C7416" s="1">
        <v>3533</v>
      </c>
      <c r="D7416" s="2">
        <v>42398</v>
      </c>
      <c r="E7416" s="1" t="s">
        <v>18</v>
      </c>
      <c r="F7416" t="str">
        <f>HYPERLINK("http://www.sec.gov/Archives/edgar/data/941548/0000941548-16-000043-index.html")</f>
        <v>http://www.sec.gov/Archives/edgar/data/941548/0000941548-16-000043-index.html</v>
      </c>
    </row>
    <row r="7417" spans="1:6" x14ac:dyDescent="0.2">
      <c r="A7417" t="s">
        <v>6809</v>
      </c>
      <c r="B7417" s="1">
        <v>1516887</v>
      </c>
      <c r="C7417" s="1">
        <v>2834</v>
      </c>
      <c r="D7417" s="2">
        <v>42398</v>
      </c>
      <c r="E7417" s="1" t="s">
        <v>18</v>
      </c>
      <c r="F7417" t="str">
        <f>HYPERLINK("http://www.sec.gov/Archives/edgar/data/1516887/0001078782-16-002249-index.html")</f>
        <v>http://www.sec.gov/Archives/edgar/data/1516887/0001078782-16-002249-index.html</v>
      </c>
    </row>
    <row r="7418" spans="1:6" x14ac:dyDescent="0.2">
      <c r="A7418" t="s">
        <v>91</v>
      </c>
      <c r="B7418" s="1">
        <v>1000230</v>
      </c>
      <c r="C7418" s="1">
        <v>3357</v>
      </c>
      <c r="D7418" s="2">
        <v>42397</v>
      </c>
      <c r="E7418" s="1" t="s">
        <v>18</v>
      </c>
      <c r="F7418" t="str">
        <f>HYPERLINK("http://www.sec.gov/Archives/edgar/data/1000230/0001437749-16-024214-index.html")</f>
        <v>http://www.sec.gov/Archives/edgar/data/1000230/0001437749-16-024214-index.html</v>
      </c>
    </row>
    <row r="7419" spans="1:6" x14ac:dyDescent="0.2">
      <c r="A7419" t="s">
        <v>6819</v>
      </c>
      <c r="B7419" s="1">
        <v>1065280</v>
      </c>
      <c r="C7419" s="1">
        <v>7841</v>
      </c>
      <c r="D7419" s="2">
        <v>42397</v>
      </c>
      <c r="E7419" s="1" t="s">
        <v>18</v>
      </c>
      <c r="F7419" t="str">
        <f>HYPERLINK("http://www.sec.gov/Archives/edgar/data/1065280/0001065280-16-000047-index.html")</f>
        <v>http://www.sec.gov/Archives/edgar/data/1065280/0001065280-16-000047-index.html</v>
      </c>
    </row>
    <row r="7420" spans="1:6" x14ac:dyDescent="0.2">
      <c r="A7420" t="s">
        <v>6820</v>
      </c>
      <c r="B7420" s="1">
        <v>1081568</v>
      </c>
      <c r="C7420" s="1">
        <v>6153</v>
      </c>
      <c r="D7420" s="2">
        <v>42397</v>
      </c>
      <c r="E7420" s="1" t="s">
        <v>18</v>
      </c>
      <c r="F7420" t="str">
        <f>HYPERLINK("http://www.sec.gov/Archives/edgar/data/1081568/0001137050-16-000195-index.html")</f>
        <v>http://www.sec.gov/Archives/edgar/data/1081568/0001137050-16-000195-index.html</v>
      </c>
    </row>
    <row r="7421" spans="1:6" x14ac:dyDescent="0.2">
      <c r="A7421" t="s">
        <v>6821</v>
      </c>
      <c r="B7421" s="1">
        <v>1120970</v>
      </c>
      <c r="C7421" s="1">
        <v>1040</v>
      </c>
      <c r="D7421" s="2">
        <v>42397</v>
      </c>
      <c r="E7421" s="1" t="s">
        <v>18</v>
      </c>
      <c r="F7421" t="str">
        <f>HYPERLINK("http://www.sec.gov/Archives/edgar/data/1120970/0001120970-16-000068-index.html")</f>
        <v>http://www.sec.gov/Archives/edgar/data/1120970/0001120970-16-000068-index.html</v>
      </c>
    </row>
    <row r="7422" spans="1:6" x14ac:dyDescent="0.2">
      <c r="A7422" t="s">
        <v>6822</v>
      </c>
      <c r="B7422" s="1">
        <v>1137855</v>
      </c>
      <c r="C7422" s="1">
        <v>1040</v>
      </c>
      <c r="D7422" s="2">
        <v>42397</v>
      </c>
      <c r="E7422" s="1" t="s">
        <v>18</v>
      </c>
      <c r="F7422" t="str">
        <f>HYPERLINK("http://www.sec.gov/Archives/edgar/data/1137855/0001515971-16-000429-index.html")</f>
        <v>http://www.sec.gov/Archives/edgar/data/1137855/0001515971-16-000429-index.html</v>
      </c>
    </row>
    <row r="7423" spans="1:6" x14ac:dyDescent="0.2">
      <c r="A7423" t="s">
        <v>6823</v>
      </c>
      <c r="B7423" s="1">
        <v>1177394</v>
      </c>
      <c r="C7423" s="1">
        <v>5045</v>
      </c>
      <c r="D7423" s="2">
        <v>42397</v>
      </c>
      <c r="E7423" s="1" t="s">
        <v>18</v>
      </c>
      <c r="F7423" t="str">
        <f>HYPERLINK("http://www.sec.gov/Archives/edgar/data/1177394/0001177394-16-000048-index.html")</f>
        <v>http://www.sec.gov/Archives/edgar/data/1177394/0001177394-16-000048-index.html</v>
      </c>
    </row>
    <row r="7424" spans="1:6" x14ac:dyDescent="0.2">
      <c r="A7424" t="s">
        <v>6824</v>
      </c>
      <c r="B7424" s="1">
        <v>1181749</v>
      </c>
      <c r="C7424" s="1">
        <v>2860</v>
      </c>
      <c r="D7424" s="2">
        <v>42397</v>
      </c>
      <c r="E7424" s="1" t="s">
        <v>18</v>
      </c>
      <c r="F7424" t="str">
        <f>HYPERLINK("http://www.sec.gov/Archives/edgar/data/1181749/0001181749-16-000028-index.html")</f>
        <v>http://www.sec.gov/Archives/edgar/data/1181749/0001181749-16-000028-index.html</v>
      </c>
    </row>
    <row r="7425" spans="1:6" x14ac:dyDescent="0.2">
      <c r="A7425" t="s">
        <v>6825</v>
      </c>
      <c r="B7425" s="1">
        <v>1190370</v>
      </c>
      <c r="C7425" s="1">
        <v>2390</v>
      </c>
      <c r="D7425" s="2">
        <v>42397</v>
      </c>
      <c r="E7425" s="1" t="s">
        <v>18</v>
      </c>
      <c r="F7425" t="str">
        <f>HYPERLINK("http://www.sec.gov/Archives/edgar/data/1190370/0001615774-16-004018-index.html")</f>
        <v>http://www.sec.gov/Archives/edgar/data/1190370/0001615774-16-004018-index.html</v>
      </c>
    </row>
    <row r="7426" spans="1:6" x14ac:dyDescent="0.2">
      <c r="A7426" t="s">
        <v>6826</v>
      </c>
      <c r="B7426" s="1">
        <v>1286964</v>
      </c>
      <c r="C7426" s="1">
        <v>2860</v>
      </c>
      <c r="D7426" s="2">
        <v>42397</v>
      </c>
      <c r="E7426" s="1" t="s">
        <v>18</v>
      </c>
      <c r="F7426" t="str">
        <f>HYPERLINK("http://www.sec.gov/Archives/edgar/data/1286964/0001286964-16-000022-index.html")</f>
        <v>http://www.sec.gov/Archives/edgar/data/1286964/0001286964-16-000022-index.html</v>
      </c>
    </row>
    <row r="7427" spans="1:6" x14ac:dyDescent="0.2">
      <c r="A7427" t="s">
        <v>6185</v>
      </c>
      <c r="B7427" s="1">
        <v>1308710</v>
      </c>
      <c r="C7427" s="1">
        <v>1311</v>
      </c>
      <c r="D7427" s="2">
        <v>42397</v>
      </c>
      <c r="E7427" s="1" t="s">
        <v>18</v>
      </c>
      <c r="F7427" t="str">
        <f>HYPERLINK("http://www.sec.gov/Archives/edgar/data/1308710/0001052918-16-000775-index.html")</f>
        <v>http://www.sec.gov/Archives/edgar/data/1308710/0001052918-16-000775-index.html</v>
      </c>
    </row>
    <row r="7428" spans="1:6" x14ac:dyDescent="0.2">
      <c r="A7428" t="s">
        <v>6827</v>
      </c>
      <c r="B7428" s="1">
        <v>1322505</v>
      </c>
      <c r="C7428" s="1">
        <v>2834</v>
      </c>
      <c r="D7428" s="2">
        <v>42397</v>
      </c>
      <c r="E7428" s="1" t="s">
        <v>42</v>
      </c>
      <c r="F7428" t="str">
        <f>HYPERLINK("http://www.sec.gov/Archives/edgar/data/1322505/0001145443-16-001441-index.html")</f>
        <v>http://www.sec.gov/Archives/edgar/data/1322505/0001145443-16-001441-index.html</v>
      </c>
    </row>
    <row r="7429" spans="1:6" x14ac:dyDescent="0.2">
      <c r="A7429" t="s">
        <v>1576</v>
      </c>
      <c r="B7429" s="1">
        <v>1326801</v>
      </c>
      <c r="C7429" s="1">
        <v>7370</v>
      </c>
      <c r="D7429" s="2">
        <v>42397</v>
      </c>
      <c r="E7429" s="1" t="s">
        <v>18</v>
      </c>
      <c r="F7429" t="str">
        <f>HYPERLINK("http://www.sec.gov/Archives/edgar/data/1326801/0001326801-16-000043-index.html")</f>
        <v>http://www.sec.gov/Archives/edgar/data/1326801/0001326801-16-000043-index.html</v>
      </c>
    </row>
    <row r="7430" spans="1:6" x14ac:dyDescent="0.2">
      <c r="A7430" t="s">
        <v>6828</v>
      </c>
      <c r="B7430" s="1">
        <v>1371451</v>
      </c>
      <c r="C7430" s="1">
        <v>2860</v>
      </c>
      <c r="D7430" s="2">
        <v>42397</v>
      </c>
      <c r="E7430" s="1" t="s">
        <v>18</v>
      </c>
      <c r="F7430" t="str">
        <f>HYPERLINK("http://www.sec.gov/Archives/edgar/data/1371451/0001371451-16-000036-index.html")</f>
        <v>http://www.sec.gov/Archives/edgar/data/1371451/0001371451-16-000036-index.html</v>
      </c>
    </row>
    <row r="7431" spans="1:6" x14ac:dyDescent="0.2">
      <c r="A7431" t="s">
        <v>6829</v>
      </c>
      <c r="B7431" s="1">
        <v>1419552</v>
      </c>
      <c r="C7431" s="1">
        <v>6770</v>
      </c>
      <c r="D7431" s="2">
        <v>42397</v>
      </c>
      <c r="E7431" s="1" t="s">
        <v>18</v>
      </c>
      <c r="F7431" t="str">
        <f>HYPERLINK("http://www.sec.gov/Archives/edgar/data/1419552/0001607062-16-000626-index.html")</f>
        <v>http://www.sec.gov/Archives/edgar/data/1419552/0001607062-16-000626-index.html</v>
      </c>
    </row>
    <row r="7432" spans="1:6" x14ac:dyDescent="0.2">
      <c r="A7432" t="s">
        <v>6830</v>
      </c>
      <c r="B7432" s="1">
        <v>1419553</v>
      </c>
      <c r="C7432" s="1">
        <v>6770</v>
      </c>
      <c r="D7432" s="2">
        <v>42397</v>
      </c>
      <c r="E7432" s="1" t="s">
        <v>18</v>
      </c>
      <c r="F7432" t="str">
        <f>HYPERLINK("http://www.sec.gov/Archives/edgar/data/1419553/0001607062-16-000625-index.html")</f>
        <v>http://www.sec.gov/Archives/edgar/data/1419553/0001607062-16-000625-index.html</v>
      </c>
    </row>
    <row r="7433" spans="1:6" x14ac:dyDescent="0.2">
      <c r="A7433" t="s">
        <v>6831</v>
      </c>
      <c r="B7433" s="1">
        <v>1419556</v>
      </c>
      <c r="C7433" s="1">
        <v>6770</v>
      </c>
      <c r="D7433" s="2">
        <v>42397</v>
      </c>
      <c r="E7433" s="1" t="s">
        <v>18</v>
      </c>
      <c r="F7433" t="str">
        <f>HYPERLINK("http://www.sec.gov/Archives/edgar/data/1419556/0001607062-16-000620-index.html")</f>
        <v>http://www.sec.gov/Archives/edgar/data/1419556/0001607062-16-000620-index.html</v>
      </c>
    </row>
    <row r="7434" spans="1:6" x14ac:dyDescent="0.2">
      <c r="A7434" t="s">
        <v>6832</v>
      </c>
      <c r="B7434" s="1">
        <v>1419560</v>
      </c>
      <c r="C7434" s="1">
        <v>6770</v>
      </c>
      <c r="D7434" s="2">
        <v>42397</v>
      </c>
      <c r="E7434" s="1" t="s">
        <v>18</v>
      </c>
      <c r="F7434" t="str">
        <f>HYPERLINK("http://www.sec.gov/Archives/edgar/data/1419560/0001607062-16-000624-index.html")</f>
        <v>http://www.sec.gov/Archives/edgar/data/1419560/0001607062-16-000624-index.html</v>
      </c>
    </row>
    <row r="7435" spans="1:6" x14ac:dyDescent="0.2">
      <c r="A7435" t="s">
        <v>6833</v>
      </c>
      <c r="B7435" s="1">
        <v>1420033</v>
      </c>
      <c r="C7435" s="1">
        <v>6770</v>
      </c>
      <c r="D7435" s="2">
        <v>42397</v>
      </c>
      <c r="E7435" s="1" t="s">
        <v>18</v>
      </c>
      <c r="F7435" t="str">
        <f>HYPERLINK("http://www.sec.gov/Archives/edgar/data/1420033/0001607062-16-000621-index.html")</f>
        <v>http://www.sec.gov/Archives/edgar/data/1420033/0001607062-16-000621-index.html</v>
      </c>
    </row>
    <row r="7436" spans="1:6" x14ac:dyDescent="0.2">
      <c r="A7436" t="s">
        <v>6834</v>
      </c>
      <c r="B7436" s="1">
        <v>1420034</v>
      </c>
      <c r="C7436" s="1">
        <v>6770</v>
      </c>
      <c r="D7436" s="2">
        <v>42397</v>
      </c>
      <c r="E7436" s="1" t="s">
        <v>18</v>
      </c>
      <c r="F7436" t="str">
        <f>HYPERLINK("http://www.sec.gov/Archives/edgar/data/1420034/0001607062-16-000622-index.html")</f>
        <v>http://www.sec.gov/Archives/edgar/data/1420034/0001607062-16-000622-index.html</v>
      </c>
    </row>
    <row r="7437" spans="1:6" x14ac:dyDescent="0.2">
      <c r="A7437" t="s">
        <v>6835</v>
      </c>
      <c r="B7437" s="1">
        <v>1420035</v>
      </c>
      <c r="C7437" s="1">
        <v>6770</v>
      </c>
      <c r="D7437" s="2">
        <v>42397</v>
      </c>
      <c r="E7437" s="1" t="s">
        <v>18</v>
      </c>
      <c r="F7437" t="str">
        <f>HYPERLINK("http://www.sec.gov/Archives/edgar/data/1420035/0001607062-16-000623-index.html")</f>
        <v>http://www.sec.gov/Archives/edgar/data/1420035/0001607062-16-000623-index.html</v>
      </c>
    </row>
    <row r="7438" spans="1:6" x14ac:dyDescent="0.2">
      <c r="A7438" t="s">
        <v>6836</v>
      </c>
      <c r="B7438" s="1">
        <v>1511261</v>
      </c>
      <c r="C7438" s="1">
        <v>7389</v>
      </c>
      <c r="D7438" s="2">
        <v>42397</v>
      </c>
      <c r="E7438" s="1" t="s">
        <v>18</v>
      </c>
      <c r="F7438" t="str">
        <f>HYPERLINK("http://www.sec.gov/Archives/edgar/data/1511261/0001415889-16-004560-index.html")</f>
        <v>http://www.sec.gov/Archives/edgar/data/1511261/0001415889-16-004560-index.html</v>
      </c>
    </row>
    <row r="7439" spans="1:6" x14ac:dyDescent="0.2">
      <c r="A7439" t="s">
        <v>6837</v>
      </c>
      <c r="B7439" s="1">
        <v>1537274</v>
      </c>
      <c r="C7439" s="1">
        <v>3612</v>
      </c>
      <c r="D7439" s="2">
        <v>42397</v>
      </c>
      <c r="E7439" s="1" t="s">
        <v>18</v>
      </c>
      <c r="F7439" t="str">
        <f>HYPERLINK("http://www.sec.gov/Archives/edgar/data/1537274/0001640334-16-000631-index.html")</f>
        <v>http://www.sec.gov/Archives/edgar/data/1537274/0001640334-16-000631-index.html</v>
      </c>
    </row>
    <row r="7440" spans="1:6" x14ac:dyDescent="0.2">
      <c r="A7440" t="s">
        <v>333</v>
      </c>
      <c r="B7440" s="1">
        <v>1585064</v>
      </c>
      <c r="C7440" s="1">
        <v>6311</v>
      </c>
      <c r="D7440" s="2">
        <v>42397</v>
      </c>
      <c r="E7440" s="1" t="s">
        <v>42</v>
      </c>
      <c r="F7440" t="str">
        <f>HYPERLINK("http://www.sec.gov/Archives/edgar/data/1585064/0001193125-16-441814-index.html")</f>
        <v>http://www.sec.gov/Archives/edgar/data/1585064/0001193125-16-441814-index.html</v>
      </c>
    </row>
    <row r="7441" spans="1:6" x14ac:dyDescent="0.2">
      <c r="A7441" t="s">
        <v>4769</v>
      </c>
      <c r="B7441" s="1">
        <v>1635581</v>
      </c>
      <c r="C7441" s="1">
        <v>4911</v>
      </c>
      <c r="D7441" s="2">
        <v>42397</v>
      </c>
      <c r="E7441" s="1" t="s">
        <v>21</v>
      </c>
      <c r="F7441" t="str">
        <f>HYPERLINK("http://www.sec.gov/Archives/edgar/data/1635581/0001564590-16-012046-index.html")</f>
        <v>http://www.sec.gov/Archives/edgar/data/1635581/0001564590-16-012046-index.html</v>
      </c>
    </row>
    <row r="7442" spans="1:6" x14ac:dyDescent="0.2">
      <c r="A7442" t="s">
        <v>6838</v>
      </c>
      <c r="B7442" s="1">
        <v>63754</v>
      </c>
      <c r="C7442" s="1">
        <v>2090</v>
      </c>
      <c r="D7442" s="2">
        <v>42397</v>
      </c>
      <c r="E7442" s="1" t="s">
        <v>18</v>
      </c>
      <c r="F7442" t="str">
        <f>HYPERLINK("http://www.sec.gov/Archives/edgar/data/63754/0000063754-16-000063-index.html")</f>
        <v>http://www.sec.gov/Archives/edgar/data/63754/0000063754-16-000063-index.html</v>
      </c>
    </row>
    <row r="7443" spans="1:6" x14ac:dyDescent="0.2">
      <c r="A7443" t="s">
        <v>6839</v>
      </c>
      <c r="B7443" s="1">
        <v>72205</v>
      </c>
      <c r="C7443" s="1">
        <v>2451</v>
      </c>
      <c r="D7443" s="2">
        <v>42397</v>
      </c>
      <c r="E7443" s="1" t="s">
        <v>18</v>
      </c>
      <c r="F7443" t="str">
        <f>HYPERLINK("http://www.sec.gov/Archives/edgar/data/72205/0001193125-16-441330-index.html")</f>
        <v>http://www.sec.gov/Archives/edgar/data/72205/0001193125-16-441330-index.html</v>
      </c>
    </row>
    <row r="7444" spans="1:6" x14ac:dyDescent="0.2">
      <c r="A7444" t="s">
        <v>6840</v>
      </c>
      <c r="B7444" s="1">
        <v>755001</v>
      </c>
      <c r="C7444" s="1">
        <v>4931</v>
      </c>
      <c r="D7444" s="2">
        <v>42397</v>
      </c>
      <c r="E7444" s="1" t="s">
        <v>18</v>
      </c>
      <c r="F7444" t="str">
        <f>HYPERLINK("http://www.sec.gov/Archives/edgar/data/755001/0001193125-16-440721-index.html")</f>
        <v>http://www.sec.gov/Archives/edgar/data/755001/0001193125-16-440721-index.html</v>
      </c>
    </row>
    <row r="7445" spans="1:6" x14ac:dyDescent="0.2">
      <c r="A7445" t="s">
        <v>6774</v>
      </c>
      <c r="B7445" s="1">
        <v>1022505</v>
      </c>
      <c r="C7445" s="1">
        <v>7374</v>
      </c>
      <c r="D7445" s="2">
        <v>42396</v>
      </c>
      <c r="E7445" s="1" t="s">
        <v>18</v>
      </c>
      <c r="F7445" t="str">
        <f>HYPERLINK("http://www.sec.gov/Archives/edgar/data/1022505/0000721748-16-000951-index.html")</f>
        <v>http://www.sec.gov/Archives/edgar/data/1022505/0000721748-16-000951-index.html</v>
      </c>
    </row>
    <row r="7446" spans="1:6" x14ac:dyDescent="0.2">
      <c r="A7446" t="s">
        <v>6841</v>
      </c>
      <c r="B7446" s="1">
        <v>1047166</v>
      </c>
      <c r="C7446" s="1">
        <v>7359</v>
      </c>
      <c r="D7446" s="2">
        <v>42396</v>
      </c>
      <c r="E7446" s="1" t="s">
        <v>18</v>
      </c>
      <c r="F7446" t="str">
        <f>HYPERLINK("http://www.sec.gov/Archives/edgar/data/1047166/0001067701-16-000039-index.html")</f>
        <v>http://www.sec.gov/Archives/edgar/data/1047166/0001067701-16-000039-index.html</v>
      </c>
    </row>
    <row r="7447" spans="1:6" x14ac:dyDescent="0.2">
      <c r="A7447" t="s">
        <v>6842</v>
      </c>
      <c r="B7447" s="1">
        <v>1067701</v>
      </c>
      <c r="C7447" s="1">
        <v>7359</v>
      </c>
      <c r="D7447" s="2">
        <v>42396</v>
      </c>
      <c r="E7447" s="1" t="s">
        <v>18</v>
      </c>
      <c r="F7447" t="str">
        <f>HYPERLINK("http://www.sec.gov/Archives/edgar/data/1067701/0001067701-16-000039-index.html")</f>
        <v>http://www.sec.gov/Archives/edgar/data/1067701/0001067701-16-000039-index.html</v>
      </c>
    </row>
    <row r="7448" spans="1:6" x14ac:dyDescent="0.2">
      <c r="A7448" t="s">
        <v>6843</v>
      </c>
      <c r="B7448" s="1">
        <v>1093285</v>
      </c>
      <c r="C7448" s="1">
        <v>3841</v>
      </c>
      <c r="D7448" s="2">
        <v>42396</v>
      </c>
      <c r="E7448" s="1" t="s">
        <v>18</v>
      </c>
      <c r="F7448" t="str">
        <f>HYPERLINK("http://www.sec.gov/Archives/edgar/data/1093285/0001213900-16-010398-index.html")</f>
        <v>http://www.sec.gov/Archives/edgar/data/1093285/0001213900-16-010398-index.html</v>
      </c>
    </row>
    <row r="7449" spans="1:6" x14ac:dyDescent="0.2">
      <c r="A7449" t="s">
        <v>6844</v>
      </c>
      <c r="B7449" s="1">
        <v>1173420</v>
      </c>
      <c r="C7449" s="1">
        <v>1040</v>
      </c>
      <c r="D7449" s="2">
        <v>42396</v>
      </c>
      <c r="E7449" s="1" t="s">
        <v>18</v>
      </c>
      <c r="F7449" t="str">
        <f>HYPERLINK("http://www.sec.gov/Archives/edgar/data/1173420/0001102624-16-002023-index.html")</f>
        <v>http://www.sec.gov/Archives/edgar/data/1173420/0001102624-16-002023-index.html</v>
      </c>
    </row>
    <row r="7450" spans="1:6" x14ac:dyDescent="0.2">
      <c r="A7450" t="s">
        <v>6845</v>
      </c>
      <c r="B7450" s="1">
        <v>1411168</v>
      </c>
      <c r="C7450" s="1">
        <v>6770</v>
      </c>
      <c r="D7450" s="2">
        <v>42396</v>
      </c>
      <c r="E7450" s="1" t="s">
        <v>18</v>
      </c>
      <c r="F7450" t="str">
        <f>HYPERLINK("http://www.sec.gov/Archives/edgar/data/1411168/0001376474-16-000540-index.html")</f>
        <v>http://www.sec.gov/Archives/edgar/data/1411168/0001376474-16-000540-index.html</v>
      </c>
    </row>
    <row r="7451" spans="1:6" x14ac:dyDescent="0.2">
      <c r="A7451" t="s">
        <v>6846</v>
      </c>
      <c r="B7451" s="1">
        <v>1432271</v>
      </c>
      <c r="C7451" s="1">
        <v>6770</v>
      </c>
      <c r="D7451" s="2">
        <v>42396</v>
      </c>
      <c r="E7451" s="1" t="s">
        <v>18</v>
      </c>
      <c r="F7451" t="str">
        <f>HYPERLINK("http://www.sec.gov/Archives/edgar/data/1432271/0001376474-16-000541-index.html")</f>
        <v>http://www.sec.gov/Archives/edgar/data/1432271/0001376474-16-000541-index.html</v>
      </c>
    </row>
    <row r="7452" spans="1:6" x14ac:dyDescent="0.2">
      <c r="A7452" t="s">
        <v>6847</v>
      </c>
      <c r="B7452" s="1">
        <v>39368</v>
      </c>
      <c r="C7452" s="1">
        <v>2891</v>
      </c>
      <c r="D7452" s="2">
        <v>42396</v>
      </c>
      <c r="E7452" s="1" t="s">
        <v>18</v>
      </c>
      <c r="F7452" t="str">
        <f>HYPERLINK("http://www.sec.gov/Archives/edgar/data/39368/0001437749-16-024185-index.html")</f>
        <v>http://www.sec.gov/Archives/edgar/data/39368/0001437749-16-024185-index.html</v>
      </c>
    </row>
    <row r="7453" spans="1:6" x14ac:dyDescent="0.2">
      <c r="A7453" t="s">
        <v>6848</v>
      </c>
      <c r="B7453" s="1">
        <v>51548</v>
      </c>
      <c r="C7453" s="1">
        <v>7948</v>
      </c>
      <c r="D7453" s="2">
        <v>42396</v>
      </c>
      <c r="E7453" s="1" t="s">
        <v>18</v>
      </c>
      <c r="F7453" t="str">
        <f>HYPERLINK("http://www.sec.gov/Archives/edgar/data/51548/0000051548-16-000045-index.html")</f>
        <v>http://www.sec.gov/Archives/edgar/data/51548/0000051548-16-000045-index.html</v>
      </c>
    </row>
    <row r="7454" spans="1:6" x14ac:dyDescent="0.2">
      <c r="A7454" t="s">
        <v>6849</v>
      </c>
      <c r="B7454" s="1">
        <v>805305</v>
      </c>
      <c r="C7454" s="1">
        <v>2320</v>
      </c>
      <c r="D7454" s="2">
        <v>42396</v>
      </c>
      <c r="E7454" s="1" t="s">
        <v>18</v>
      </c>
      <c r="F7454" t="str">
        <f>HYPERLINK("http://www.sec.gov/Archives/edgar/data/805305/0001628280-16-010383-index.html")</f>
        <v>http://www.sec.gov/Archives/edgar/data/805305/0001628280-16-010383-index.html</v>
      </c>
    </row>
    <row r="7455" spans="1:6" x14ac:dyDescent="0.2">
      <c r="A7455" t="s">
        <v>6850</v>
      </c>
      <c r="B7455" s="1">
        <v>87347</v>
      </c>
      <c r="C7455" s="1">
        <v>1389</v>
      </c>
      <c r="D7455" s="2">
        <v>42396</v>
      </c>
      <c r="E7455" s="1" t="s">
        <v>18</v>
      </c>
      <c r="F7455" t="str">
        <f>HYPERLINK("http://www.sec.gov/Archives/edgar/data/87347/0001564590-16-012009-index.html")</f>
        <v>http://www.sec.gov/Archives/edgar/data/87347/0001564590-16-012009-index.html</v>
      </c>
    </row>
    <row r="7456" spans="1:6" x14ac:dyDescent="0.2">
      <c r="A7456" t="s">
        <v>6851</v>
      </c>
      <c r="B7456" s="1">
        <v>928054</v>
      </c>
      <c r="C7456" s="1">
        <v>2890</v>
      </c>
      <c r="D7456" s="2">
        <v>42396</v>
      </c>
      <c r="E7456" s="1" t="s">
        <v>18</v>
      </c>
      <c r="F7456" t="str">
        <f>HYPERLINK("http://www.sec.gov/Archives/edgar/data/928054/0000928054-16-000079-index.html")</f>
        <v>http://www.sec.gov/Archives/edgar/data/928054/0000928054-16-000079-index.html</v>
      </c>
    </row>
    <row r="7457" spans="1:6" x14ac:dyDescent="0.2">
      <c r="A7457" t="s">
        <v>6852</v>
      </c>
      <c r="B7457" s="1">
        <v>1007019</v>
      </c>
      <c r="C7457" s="1">
        <v>5140</v>
      </c>
      <c r="D7457" s="2">
        <v>42395</v>
      </c>
      <c r="E7457" s="1" t="s">
        <v>18</v>
      </c>
      <c r="F7457" t="str">
        <f>HYPERLINK("http://www.sec.gov/Archives/edgar/data/1007019/0001354488-16-005981-index.html")</f>
        <v>http://www.sec.gov/Archives/edgar/data/1007019/0001354488-16-005981-index.html</v>
      </c>
    </row>
    <row r="7458" spans="1:6" x14ac:dyDescent="0.2">
      <c r="A7458" t="s">
        <v>6853</v>
      </c>
      <c r="B7458" s="1">
        <v>1614818</v>
      </c>
      <c r="C7458" s="1">
        <v>6770</v>
      </c>
      <c r="D7458" s="2">
        <v>42395</v>
      </c>
      <c r="E7458" s="1" t="s">
        <v>18</v>
      </c>
      <c r="F7458" t="str">
        <f>HYPERLINK("http://www.sec.gov/Archives/edgar/data/1614818/0001213900-16-010381-index.html")</f>
        <v>http://www.sec.gov/Archives/edgar/data/1614818/0001213900-16-010381-index.html</v>
      </c>
    </row>
    <row r="7459" spans="1:6" x14ac:dyDescent="0.2">
      <c r="A7459" t="s">
        <v>6854</v>
      </c>
      <c r="B7459" s="1">
        <v>1644509</v>
      </c>
      <c r="C7459" s="1">
        <v>6770</v>
      </c>
      <c r="D7459" s="2">
        <v>42395</v>
      </c>
      <c r="E7459" s="1" t="s">
        <v>18</v>
      </c>
      <c r="F7459" t="str">
        <f>HYPERLINK("http://www.sec.gov/Archives/edgar/data/1644509/0001564590-16-011982-index.html")</f>
        <v>http://www.sec.gov/Archives/edgar/data/1644509/0001564590-16-011982-index.html</v>
      </c>
    </row>
    <row r="7460" spans="1:6" x14ac:dyDescent="0.2">
      <c r="A7460" t="s">
        <v>6855</v>
      </c>
      <c r="B7460" s="1">
        <v>1090061</v>
      </c>
      <c r="C7460" s="1">
        <v>3060</v>
      </c>
      <c r="D7460" s="2">
        <v>42394</v>
      </c>
      <c r="E7460" s="1" t="s">
        <v>18</v>
      </c>
      <c r="F7460" t="str">
        <f>HYPERLINK("http://www.sec.gov/Archives/edgar/data/1090061/0001090061-16-000050-index.html")</f>
        <v>http://www.sec.gov/Archives/edgar/data/1090061/0001090061-16-000050-index.html</v>
      </c>
    </row>
    <row r="7461" spans="1:6" x14ac:dyDescent="0.2">
      <c r="A7461" t="s">
        <v>6856</v>
      </c>
      <c r="B7461" s="1">
        <v>1593204</v>
      </c>
      <c r="C7461" s="1">
        <v>5020</v>
      </c>
      <c r="D7461" s="2">
        <v>42394</v>
      </c>
      <c r="E7461" s="1" t="s">
        <v>18</v>
      </c>
      <c r="F7461" t="str">
        <f>HYPERLINK("http://www.sec.gov/Archives/edgar/data/1593204/0001477932-16-008243-index.html")</f>
        <v>http://www.sec.gov/Archives/edgar/data/1593204/0001477932-16-008243-index.html</v>
      </c>
    </row>
    <row r="7462" spans="1:6" x14ac:dyDescent="0.2">
      <c r="A7462" t="s">
        <v>6857</v>
      </c>
      <c r="B7462" s="1">
        <v>795266</v>
      </c>
      <c r="C7462" s="1">
        <v>1531</v>
      </c>
      <c r="D7462" s="2">
        <v>42394</v>
      </c>
      <c r="E7462" s="1" t="s">
        <v>18</v>
      </c>
      <c r="F7462" t="str">
        <f>HYPERLINK("http://www.sec.gov/Archives/edgar/data/795266/0000795266-16-000089-index.html")</f>
        <v>http://www.sec.gov/Archives/edgar/data/795266/0000795266-16-000089-index.html</v>
      </c>
    </row>
    <row r="7463" spans="1:6" x14ac:dyDescent="0.2">
      <c r="A7463" t="s">
        <v>6857</v>
      </c>
      <c r="B7463" s="1">
        <v>795266</v>
      </c>
      <c r="C7463" s="1">
        <v>1531</v>
      </c>
      <c r="D7463" s="2">
        <v>42394</v>
      </c>
      <c r="E7463" s="1" t="s">
        <v>18</v>
      </c>
      <c r="F7463" t="str">
        <f>HYPERLINK("http://www.sec.gov/Archives/edgar/data/795266/0000795266-16-000089-index.html")</f>
        <v>http://www.sec.gov/Archives/edgar/data/795266/0000795266-16-000089-index.html</v>
      </c>
    </row>
    <row r="7464" spans="1:6" x14ac:dyDescent="0.2">
      <c r="A7464" t="s">
        <v>6858</v>
      </c>
      <c r="B7464" s="1">
        <v>1030206</v>
      </c>
      <c r="C7464" s="1">
        <v>3841</v>
      </c>
      <c r="D7464" s="2">
        <v>42391</v>
      </c>
      <c r="E7464" s="1" t="s">
        <v>18</v>
      </c>
      <c r="F7464" t="str">
        <f>HYPERLINK("http://www.sec.gov/Archives/edgar/data/1030206/0001140361-16-048409-index.html")</f>
        <v>http://www.sec.gov/Archives/edgar/data/1030206/0001140361-16-048409-index.html</v>
      </c>
    </row>
    <row r="7465" spans="1:6" x14ac:dyDescent="0.2">
      <c r="A7465" t="s">
        <v>726</v>
      </c>
      <c r="B7465" s="1">
        <v>1530981</v>
      </c>
      <c r="C7465" s="1">
        <v>8700</v>
      </c>
      <c r="D7465" s="2">
        <v>42391</v>
      </c>
      <c r="E7465" s="1" t="s">
        <v>18</v>
      </c>
      <c r="F7465" t="str">
        <f>HYPERLINK("http://www.sec.gov/Archives/edgar/data/1530981/0001640334-16-000606-index.html")</f>
        <v>http://www.sec.gov/Archives/edgar/data/1530981/0001640334-16-000606-index.html</v>
      </c>
    </row>
    <row r="7466" spans="1:6" x14ac:dyDescent="0.2">
      <c r="A7466" t="s">
        <v>6859</v>
      </c>
      <c r="B7466" s="1">
        <v>20740</v>
      </c>
      <c r="C7466" s="1">
        <v>3714</v>
      </c>
      <c r="D7466" s="2">
        <v>42391</v>
      </c>
      <c r="E7466" s="1" t="s">
        <v>18</v>
      </c>
      <c r="F7466" t="str">
        <f>HYPERLINK("http://www.sec.gov/Archives/edgar/data/20740/0000020740-16-000123-index.html")</f>
        <v>http://www.sec.gov/Archives/edgar/data/20740/0000020740-16-000123-index.html</v>
      </c>
    </row>
    <row r="7467" spans="1:6" x14ac:dyDescent="0.2">
      <c r="A7467" t="s">
        <v>6860</v>
      </c>
      <c r="B7467" s="1">
        <v>920760</v>
      </c>
      <c r="C7467" s="1">
        <v>1520</v>
      </c>
      <c r="D7467" s="2">
        <v>42391</v>
      </c>
      <c r="E7467" s="1" t="s">
        <v>18</v>
      </c>
      <c r="F7467" t="str">
        <f>HYPERLINK("http://www.sec.gov/Archives/edgar/data/920760/0001628280-16-010323-index.html")</f>
        <v>http://www.sec.gov/Archives/edgar/data/920760/0001628280-16-010323-index.html</v>
      </c>
    </row>
    <row r="7468" spans="1:6" x14ac:dyDescent="0.2">
      <c r="A7468" t="s">
        <v>6861</v>
      </c>
      <c r="B7468" s="1">
        <v>1014507</v>
      </c>
      <c r="C7468" s="1">
        <v>3843</v>
      </c>
      <c r="D7468" s="2">
        <v>42390</v>
      </c>
      <c r="E7468" s="1" t="s">
        <v>42</v>
      </c>
      <c r="F7468" t="str">
        <f>HYPERLINK("http://www.sec.gov/Archives/edgar/data/1014507/0001571049-16-010927-index.html")</f>
        <v>http://www.sec.gov/Archives/edgar/data/1014507/0001571049-16-010927-index.html</v>
      </c>
    </row>
    <row r="7469" spans="1:6" x14ac:dyDescent="0.2">
      <c r="A7469" t="s">
        <v>6862</v>
      </c>
      <c r="B7469" s="1">
        <v>10329</v>
      </c>
      <c r="C7469" s="1">
        <v>2511</v>
      </c>
      <c r="D7469" s="2">
        <v>42390</v>
      </c>
      <c r="E7469" s="1" t="s">
        <v>18</v>
      </c>
      <c r="F7469" t="str">
        <f>HYPERLINK("http://www.sec.gov/Archives/edgar/data/10329/0001437749-16-023899-index.html")</f>
        <v>http://www.sec.gov/Archives/edgar/data/10329/0001437749-16-023899-index.html</v>
      </c>
    </row>
    <row r="7470" spans="1:6" x14ac:dyDescent="0.2">
      <c r="A7470" t="s">
        <v>6863</v>
      </c>
      <c r="B7470" s="1">
        <v>225628</v>
      </c>
      <c r="C7470" s="1">
        <v>3812</v>
      </c>
      <c r="D7470" s="2">
        <v>42390</v>
      </c>
      <c r="E7470" s="1" t="s">
        <v>18</v>
      </c>
      <c r="F7470" t="str">
        <f>HYPERLINK("http://www.sec.gov/Archives/edgar/data/225628/0000909012-16-000364-index.html")</f>
        <v>http://www.sec.gov/Archives/edgar/data/225628/0000909012-16-000364-index.html</v>
      </c>
    </row>
    <row r="7471" spans="1:6" x14ac:dyDescent="0.2">
      <c r="A7471" t="s">
        <v>6864</v>
      </c>
      <c r="B7471" s="1">
        <v>773318</v>
      </c>
      <c r="C7471" s="1">
        <v>3679</v>
      </c>
      <c r="D7471" s="2">
        <v>42390</v>
      </c>
      <c r="E7471" s="1" t="s">
        <v>18</v>
      </c>
      <c r="F7471" t="str">
        <f>HYPERLINK("http://www.sec.gov/Archives/edgar/data/773318/0001607062-16-000600-index.html")</f>
        <v>http://www.sec.gov/Archives/edgar/data/773318/0001607062-16-000600-index.html</v>
      </c>
    </row>
    <row r="7472" spans="1:6" x14ac:dyDescent="0.2">
      <c r="A7472" t="s">
        <v>2447</v>
      </c>
      <c r="B7472" s="1">
        <v>1584584</v>
      </c>
      <c r="C7472" s="1">
        <v>4700</v>
      </c>
      <c r="D7472" s="2">
        <v>42389</v>
      </c>
      <c r="E7472" s="1" t="s">
        <v>18</v>
      </c>
      <c r="F7472" t="str">
        <f>HYPERLINK("http://www.sec.gov/Archives/edgar/data/1584584/0001640334-16-000597-index.html")</f>
        <v>http://www.sec.gov/Archives/edgar/data/1584584/0001640334-16-000597-index.html</v>
      </c>
    </row>
    <row r="7473" spans="1:6" x14ac:dyDescent="0.2">
      <c r="A7473" t="s">
        <v>6865</v>
      </c>
      <c r="B7473" s="1">
        <v>1031093</v>
      </c>
      <c r="C7473" s="1">
        <v>1000</v>
      </c>
      <c r="D7473" s="2">
        <v>42388</v>
      </c>
      <c r="E7473" s="1" t="s">
        <v>18</v>
      </c>
      <c r="F7473" t="str">
        <f>HYPERLINK("http://www.sec.gov/Archives/edgar/data/1031093/0001079973-16-000755-index.html")</f>
        <v>http://www.sec.gov/Archives/edgar/data/1031093/0001079973-16-000755-index.html</v>
      </c>
    </row>
    <row r="7474" spans="1:6" x14ac:dyDescent="0.2">
      <c r="A7474" t="s">
        <v>6866</v>
      </c>
      <c r="B7474" s="1">
        <v>1088787</v>
      </c>
      <c r="C7474" s="1">
        <v>3330</v>
      </c>
      <c r="D7474" s="2">
        <v>42388</v>
      </c>
      <c r="E7474" s="1" t="s">
        <v>18</v>
      </c>
      <c r="F7474" t="str">
        <f>HYPERLINK("http://www.sec.gov/Archives/edgar/data/1088787/0001448788-16-000080-index.html")</f>
        <v>http://www.sec.gov/Archives/edgar/data/1088787/0001448788-16-000080-index.html</v>
      </c>
    </row>
    <row r="7475" spans="1:6" x14ac:dyDescent="0.2">
      <c r="A7475" t="s">
        <v>992</v>
      </c>
      <c r="B7475" s="1">
        <v>1157075</v>
      </c>
      <c r="C7475" s="1">
        <v>2833</v>
      </c>
      <c r="D7475" s="2">
        <v>42388</v>
      </c>
      <c r="E7475" s="1" t="s">
        <v>42</v>
      </c>
      <c r="F7475" t="str">
        <f>HYPERLINK("http://www.sec.gov/Archives/edgar/data/1157075/0001019687-16-004856-index.html")</f>
        <v>http://www.sec.gov/Archives/edgar/data/1157075/0001019687-16-004856-index.html</v>
      </c>
    </row>
    <row r="7476" spans="1:6" x14ac:dyDescent="0.2">
      <c r="A7476" t="s">
        <v>992</v>
      </c>
      <c r="B7476" s="1">
        <v>1157075</v>
      </c>
      <c r="C7476" s="1">
        <v>2833</v>
      </c>
      <c r="D7476" s="2">
        <v>42388</v>
      </c>
      <c r="E7476" s="1" t="s">
        <v>42</v>
      </c>
      <c r="F7476" t="str">
        <f>HYPERLINK("http://www.sec.gov/Archives/edgar/data/1157075/0001019687-16-004873-index.html")</f>
        <v>http://www.sec.gov/Archives/edgar/data/1157075/0001019687-16-004873-index.html</v>
      </c>
    </row>
    <row r="7477" spans="1:6" x14ac:dyDescent="0.2">
      <c r="A7477" t="s">
        <v>6867</v>
      </c>
      <c r="B7477" s="1">
        <v>796343</v>
      </c>
      <c r="C7477" s="1">
        <v>7372</v>
      </c>
      <c r="D7477" s="2">
        <v>42388</v>
      </c>
      <c r="E7477" s="1" t="s">
        <v>18</v>
      </c>
      <c r="F7477" t="str">
        <f>HYPERLINK("http://www.sec.gov/Archives/edgar/data/796343/0000796343-16-000224-index.html")</f>
        <v>http://www.sec.gov/Archives/edgar/data/796343/0000796343-16-000224-index.html</v>
      </c>
    </row>
    <row r="7478" spans="1:6" x14ac:dyDescent="0.2">
      <c r="A7478" t="s">
        <v>3802</v>
      </c>
      <c r="B7478" s="1">
        <v>1108967</v>
      </c>
      <c r="C7478" s="1">
        <v>5065</v>
      </c>
      <c r="D7478" s="2">
        <v>42384</v>
      </c>
      <c r="E7478" s="1" t="s">
        <v>42</v>
      </c>
      <c r="F7478" t="str">
        <f>HYPERLINK("http://www.sec.gov/Archives/edgar/data/1108967/0001144204-16-075862-index.html")</f>
        <v>http://www.sec.gov/Archives/edgar/data/1108967/0001144204-16-075862-index.html</v>
      </c>
    </row>
    <row r="7479" spans="1:6" x14ac:dyDescent="0.2">
      <c r="A7479" t="s">
        <v>6868</v>
      </c>
      <c r="B7479" s="1">
        <v>1316360</v>
      </c>
      <c r="C7479" s="1">
        <v>7370</v>
      </c>
      <c r="D7479" s="2">
        <v>42384</v>
      </c>
      <c r="E7479" s="1" t="s">
        <v>18</v>
      </c>
      <c r="F7479" t="str">
        <f>HYPERLINK("http://www.sec.gov/Archives/edgar/data/1316360/0001316360-16-000114-index.html")</f>
        <v>http://www.sec.gov/Archives/edgar/data/1316360/0001316360-16-000114-index.html</v>
      </c>
    </row>
    <row r="7480" spans="1:6" x14ac:dyDescent="0.2">
      <c r="A7480" t="s">
        <v>6869</v>
      </c>
      <c r="B7480" s="1">
        <v>14177</v>
      </c>
      <c r="C7480" s="1">
        <v>2013</v>
      </c>
      <c r="D7480" s="2">
        <v>42384</v>
      </c>
      <c r="E7480" s="1" t="s">
        <v>18</v>
      </c>
      <c r="F7480" t="str">
        <f>HYPERLINK("http://www.sec.gov/Archives/edgar/data/14177/0001437749-16-023725-index.html")</f>
        <v>http://www.sec.gov/Archives/edgar/data/14177/0001437749-16-023725-index.html</v>
      </c>
    </row>
    <row r="7481" spans="1:6" x14ac:dyDescent="0.2">
      <c r="A7481" t="s">
        <v>6870</v>
      </c>
      <c r="B7481" s="1">
        <v>1590565</v>
      </c>
      <c r="C7481" s="1">
        <v>3663</v>
      </c>
      <c r="D7481" s="2">
        <v>42384</v>
      </c>
      <c r="E7481" s="1" t="s">
        <v>42</v>
      </c>
      <c r="F7481" t="str">
        <f>HYPERLINK("http://www.sec.gov/Archives/edgar/data/1590565/0001493152-16-006801-index.html")</f>
        <v>http://www.sec.gov/Archives/edgar/data/1590565/0001493152-16-006801-index.html</v>
      </c>
    </row>
    <row r="7482" spans="1:6" x14ac:dyDescent="0.2">
      <c r="A7482" t="s">
        <v>6871</v>
      </c>
      <c r="B7482" s="1">
        <v>103872</v>
      </c>
      <c r="C7482" s="1">
        <v>7363</v>
      </c>
      <c r="D7482" s="2">
        <v>42383</v>
      </c>
      <c r="E7482" s="1" t="s">
        <v>18</v>
      </c>
      <c r="F7482" t="str">
        <f>HYPERLINK("http://www.sec.gov/Archives/edgar/data/103872/0000103872-16-000017-index.html")</f>
        <v>http://www.sec.gov/Archives/edgar/data/103872/0000103872-16-000017-index.html</v>
      </c>
    </row>
    <row r="7483" spans="1:6" x14ac:dyDescent="0.2">
      <c r="A7483" t="s">
        <v>27</v>
      </c>
      <c r="B7483" s="1">
        <v>1097792</v>
      </c>
      <c r="C7483" s="1">
        <v>7389</v>
      </c>
      <c r="D7483" s="2">
        <v>42383</v>
      </c>
      <c r="E7483" s="1" t="s">
        <v>42</v>
      </c>
      <c r="F7483" t="str">
        <f>HYPERLINK("http://www.sec.gov/Archives/edgar/data/1097792/0001213900-16-010141-index.html")</f>
        <v>http://www.sec.gov/Archives/edgar/data/1097792/0001213900-16-010141-index.html</v>
      </c>
    </row>
    <row r="7484" spans="1:6" x14ac:dyDescent="0.2">
      <c r="A7484" t="s">
        <v>6872</v>
      </c>
      <c r="B7484" s="1">
        <v>1328598</v>
      </c>
      <c r="C7484" s="1">
        <v>6221</v>
      </c>
      <c r="D7484" s="2">
        <v>42383</v>
      </c>
      <c r="E7484" s="1" t="s">
        <v>18</v>
      </c>
      <c r="F7484" t="str">
        <f>HYPERLINK("http://www.sec.gov/Archives/edgar/data/1328598/0001193125-16-429864-index.html")</f>
        <v>http://www.sec.gov/Archives/edgar/data/1328598/0001193125-16-429864-index.html</v>
      </c>
    </row>
    <row r="7485" spans="1:6" x14ac:dyDescent="0.2">
      <c r="A7485" t="s">
        <v>6873</v>
      </c>
      <c r="B7485" s="1">
        <v>1353611</v>
      </c>
      <c r="C7485" s="1">
        <v>6221</v>
      </c>
      <c r="D7485" s="2">
        <v>42383</v>
      </c>
      <c r="E7485" s="1" t="s">
        <v>18</v>
      </c>
      <c r="F7485" t="str">
        <f>HYPERLINK("http://www.sec.gov/Archives/edgar/data/1353611/0001193125-16-429857-index.html")</f>
        <v>http://www.sec.gov/Archives/edgar/data/1353611/0001193125-16-429857-index.html</v>
      </c>
    </row>
    <row r="7486" spans="1:6" x14ac:dyDescent="0.2">
      <c r="A7486" t="s">
        <v>6874</v>
      </c>
      <c r="B7486" s="1">
        <v>1353612</v>
      </c>
      <c r="C7486" s="1">
        <v>6221</v>
      </c>
      <c r="D7486" s="2">
        <v>42383</v>
      </c>
      <c r="E7486" s="1" t="s">
        <v>18</v>
      </c>
      <c r="F7486" t="str">
        <f>HYPERLINK("http://www.sec.gov/Archives/edgar/data/1353612/0001193125-16-429876-index.html")</f>
        <v>http://www.sec.gov/Archives/edgar/data/1353612/0001193125-16-429876-index.html</v>
      </c>
    </row>
    <row r="7487" spans="1:6" x14ac:dyDescent="0.2">
      <c r="A7487" t="s">
        <v>6875</v>
      </c>
      <c r="B7487" s="1">
        <v>1353613</v>
      </c>
      <c r="C7487" s="1">
        <v>6221</v>
      </c>
      <c r="D7487" s="2">
        <v>42383</v>
      </c>
      <c r="E7487" s="1" t="s">
        <v>18</v>
      </c>
      <c r="F7487" t="str">
        <f>HYPERLINK("http://www.sec.gov/Archives/edgar/data/1353613/0001193125-16-429861-index.html")</f>
        <v>http://www.sec.gov/Archives/edgar/data/1353613/0001193125-16-429861-index.html</v>
      </c>
    </row>
    <row r="7488" spans="1:6" x14ac:dyDescent="0.2">
      <c r="A7488" t="s">
        <v>6876</v>
      </c>
      <c r="B7488" s="1">
        <v>1353614</v>
      </c>
      <c r="C7488" s="1">
        <v>6221</v>
      </c>
      <c r="D7488" s="2">
        <v>42383</v>
      </c>
      <c r="E7488" s="1" t="s">
        <v>18</v>
      </c>
      <c r="F7488" t="str">
        <f>HYPERLINK("http://www.sec.gov/Archives/edgar/data/1353614/0001193125-16-429874-index.html")</f>
        <v>http://www.sec.gov/Archives/edgar/data/1353614/0001193125-16-429874-index.html</v>
      </c>
    </row>
    <row r="7489" spans="1:6" x14ac:dyDescent="0.2">
      <c r="A7489" t="s">
        <v>6877</v>
      </c>
      <c r="B7489" s="1">
        <v>1353615</v>
      </c>
      <c r="C7489" s="1">
        <v>6221</v>
      </c>
      <c r="D7489" s="2">
        <v>42383</v>
      </c>
      <c r="E7489" s="1" t="s">
        <v>18</v>
      </c>
      <c r="F7489" t="str">
        <f>HYPERLINK("http://www.sec.gov/Archives/edgar/data/1353615/0001193125-16-429872-index.html")</f>
        <v>http://www.sec.gov/Archives/edgar/data/1353615/0001193125-16-429872-index.html</v>
      </c>
    </row>
    <row r="7490" spans="1:6" x14ac:dyDescent="0.2">
      <c r="A7490" t="s">
        <v>6878</v>
      </c>
      <c r="B7490" s="1">
        <v>1353616</v>
      </c>
      <c r="C7490" s="1">
        <v>6221</v>
      </c>
      <c r="D7490" s="2">
        <v>42383</v>
      </c>
      <c r="E7490" s="1" t="s">
        <v>18</v>
      </c>
      <c r="F7490" t="str">
        <f>HYPERLINK("http://www.sec.gov/Archives/edgar/data/1353616/0001193125-16-429877-index.html")</f>
        <v>http://www.sec.gov/Archives/edgar/data/1353616/0001193125-16-429877-index.html</v>
      </c>
    </row>
    <row r="7491" spans="1:6" x14ac:dyDescent="0.2">
      <c r="A7491" t="s">
        <v>6879</v>
      </c>
      <c r="B7491" s="1">
        <v>1433994</v>
      </c>
      <c r="C7491" s="1">
        <v>6221</v>
      </c>
      <c r="D7491" s="2">
        <v>42383</v>
      </c>
      <c r="E7491" s="1" t="s">
        <v>18</v>
      </c>
      <c r="F7491" t="str">
        <f>HYPERLINK("http://www.sec.gov/Archives/edgar/data/1433994/0001193125-16-429869-index.html")</f>
        <v>http://www.sec.gov/Archives/edgar/data/1433994/0001193125-16-429869-index.html</v>
      </c>
    </row>
    <row r="7492" spans="1:6" x14ac:dyDescent="0.2">
      <c r="A7492" t="s">
        <v>1412</v>
      </c>
      <c r="B7492" s="1">
        <v>1455819</v>
      </c>
      <c r="C7492" s="1">
        <v>3634</v>
      </c>
      <c r="D7492" s="2">
        <v>42383</v>
      </c>
      <c r="E7492" s="1" t="s">
        <v>18</v>
      </c>
      <c r="F7492" t="str">
        <f>HYPERLINK("http://www.sec.gov/Archives/edgar/data/1455819/0001213900-16-010117-index.html")</f>
        <v>http://www.sec.gov/Archives/edgar/data/1455819/0001213900-16-010117-index.html</v>
      </c>
    </row>
    <row r="7493" spans="1:6" x14ac:dyDescent="0.2">
      <c r="A7493" t="s">
        <v>6880</v>
      </c>
      <c r="B7493" s="1">
        <v>1497251</v>
      </c>
      <c r="C7493" s="1">
        <v>7389</v>
      </c>
      <c r="D7493" s="2">
        <v>42383</v>
      </c>
      <c r="E7493" s="1" t="s">
        <v>18</v>
      </c>
      <c r="F7493" t="str">
        <f>HYPERLINK("http://www.sec.gov/Archives/edgar/data/1497251/0001511164-16-000614-index.html")</f>
        <v>http://www.sec.gov/Archives/edgar/data/1497251/0001511164-16-000614-index.html</v>
      </c>
    </row>
    <row r="7494" spans="1:6" x14ac:dyDescent="0.2">
      <c r="A7494" t="s">
        <v>6881</v>
      </c>
      <c r="B7494" s="1">
        <v>1509786</v>
      </c>
      <c r="C7494" s="1">
        <v>1520</v>
      </c>
      <c r="D7494" s="2">
        <v>42383</v>
      </c>
      <c r="E7494" s="1" t="s">
        <v>18</v>
      </c>
      <c r="F7494" t="str">
        <f>HYPERLINK("http://www.sec.gov/Archives/edgar/data/1509786/0001213900-16-010118-index.html")</f>
        <v>http://www.sec.gov/Archives/edgar/data/1509786/0001213900-16-010118-index.html</v>
      </c>
    </row>
    <row r="7495" spans="1:6" x14ac:dyDescent="0.2">
      <c r="A7495" t="s">
        <v>6882</v>
      </c>
      <c r="B7495" s="1">
        <v>1519405</v>
      </c>
      <c r="C7495" s="1">
        <v>6221</v>
      </c>
      <c r="D7495" s="2">
        <v>42383</v>
      </c>
      <c r="E7495" s="1" t="s">
        <v>18</v>
      </c>
      <c r="F7495" t="str">
        <f>HYPERLINK("http://www.sec.gov/Archives/edgar/data/1519405/0001193125-16-429867-index.html")</f>
        <v>http://www.sec.gov/Archives/edgar/data/1519405/0001193125-16-429867-index.html</v>
      </c>
    </row>
    <row r="7496" spans="1:6" x14ac:dyDescent="0.2">
      <c r="A7496" t="s">
        <v>6883</v>
      </c>
      <c r="B7496" s="1">
        <v>1604416</v>
      </c>
      <c r="C7496" s="1">
        <v>6770</v>
      </c>
      <c r="D7496" s="2">
        <v>42383</v>
      </c>
      <c r="E7496" s="1" t="s">
        <v>18</v>
      </c>
      <c r="F7496" t="str">
        <f>HYPERLINK("http://www.sec.gov/Archives/edgar/data/1604416/0001144204-16-075657-index.html")</f>
        <v>http://www.sec.gov/Archives/edgar/data/1604416/0001144204-16-075657-index.html</v>
      </c>
    </row>
    <row r="7497" spans="1:6" x14ac:dyDescent="0.2">
      <c r="A7497" t="s">
        <v>6884</v>
      </c>
      <c r="B7497" s="1">
        <v>36840</v>
      </c>
      <c r="C7497" s="1">
        <v>6798</v>
      </c>
      <c r="D7497" s="2">
        <v>42383</v>
      </c>
      <c r="E7497" s="1" t="s">
        <v>18</v>
      </c>
      <c r="F7497" t="str">
        <f>HYPERLINK("http://www.sec.gov/Archives/edgar/data/36840/0001174947-16-001916-index.html")</f>
        <v>http://www.sec.gov/Archives/edgar/data/36840/0001174947-16-001916-index.html</v>
      </c>
    </row>
    <row r="7498" spans="1:6" x14ac:dyDescent="0.2">
      <c r="A7498" t="s">
        <v>6885</v>
      </c>
      <c r="B7498" s="1">
        <v>785787</v>
      </c>
      <c r="C7498" s="1">
        <v>3081</v>
      </c>
      <c r="D7498" s="2">
        <v>42383</v>
      </c>
      <c r="E7498" s="1" t="s">
        <v>18</v>
      </c>
      <c r="F7498" t="str">
        <f>HYPERLINK("http://www.sec.gov/Archives/edgar/data/785787/0001193125-16-429901-index.html")</f>
        <v>http://www.sec.gov/Archives/edgar/data/785787/0001193125-16-429901-index.html</v>
      </c>
    </row>
    <row r="7499" spans="1:6" x14ac:dyDescent="0.2">
      <c r="A7499" t="s">
        <v>121</v>
      </c>
      <c r="B7499" s="1">
        <v>836690</v>
      </c>
      <c r="C7499" s="1">
        <v>7371</v>
      </c>
      <c r="D7499" s="2">
        <v>42383</v>
      </c>
      <c r="E7499" s="1" t="s">
        <v>18</v>
      </c>
      <c r="F7499" t="str">
        <f>HYPERLINK("http://www.sec.gov/Archives/edgar/data/836690/0001104659-16-089879-index.html")</f>
        <v>http://www.sec.gov/Archives/edgar/data/836690/0001104659-16-089879-index.html</v>
      </c>
    </row>
    <row r="7500" spans="1:6" x14ac:dyDescent="0.2">
      <c r="A7500" t="s">
        <v>6886</v>
      </c>
      <c r="B7500" s="1">
        <v>904979</v>
      </c>
      <c r="C7500" s="1">
        <v>3460</v>
      </c>
      <c r="D7500" s="2">
        <v>42383</v>
      </c>
      <c r="E7500" s="1" t="s">
        <v>18</v>
      </c>
      <c r="F7500" t="str">
        <f>HYPERLINK("http://www.sec.gov/Archives/edgar/data/904979/0000904979-16-000048-index.html")</f>
        <v>http://www.sec.gov/Archives/edgar/data/904979/0000904979-16-000048-index.html</v>
      </c>
    </row>
    <row r="7501" spans="1:6" x14ac:dyDescent="0.2">
      <c r="A7501" t="s">
        <v>6887</v>
      </c>
      <c r="B7501" s="1">
        <v>932699</v>
      </c>
      <c r="C7501" s="1">
        <v>3510</v>
      </c>
      <c r="D7501" s="2">
        <v>42383</v>
      </c>
      <c r="E7501" s="1" t="s">
        <v>18</v>
      </c>
      <c r="F7501" t="str">
        <f>HYPERLINK("http://www.sec.gov/Archives/edgar/data/932699/0000932699-16-000092-index.html")</f>
        <v>http://www.sec.gov/Archives/edgar/data/932699/0000932699-16-000092-index.html</v>
      </c>
    </row>
    <row r="7502" spans="1:6" x14ac:dyDescent="0.2">
      <c r="A7502" t="s">
        <v>6888</v>
      </c>
      <c r="B7502" s="1">
        <v>1031896</v>
      </c>
      <c r="C7502" s="1">
        <v>2870</v>
      </c>
      <c r="D7502" s="2">
        <v>42382</v>
      </c>
      <c r="E7502" s="1" t="s">
        <v>18</v>
      </c>
      <c r="F7502" t="str">
        <f>HYPERLINK("http://www.sec.gov/Archives/edgar/data/1031896/0001165527-16-000630-index.html")</f>
        <v>http://www.sec.gov/Archives/edgar/data/1031896/0001165527-16-000630-index.html</v>
      </c>
    </row>
    <row r="7503" spans="1:6" x14ac:dyDescent="0.2">
      <c r="A7503" t="s">
        <v>26</v>
      </c>
      <c r="B7503" s="1">
        <v>1045742</v>
      </c>
      <c r="C7503" s="1">
        <v>7371</v>
      </c>
      <c r="D7503" s="2">
        <v>42382</v>
      </c>
      <c r="E7503" s="1" t="s">
        <v>18</v>
      </c>
      <c r="F7503" t="str">
        <f>HYPERLINK("http://www.sec.gov/Archives/edgar/data/1045742/0001019687-16-004810-index.html")</f>
        <v>http://www.sec.gov/Archives/edgar/data/1045742/0001019687-16-004810-index.html</v>
      </c>
    </row>
    <row r="7504" spans="1:6" x14ac:dyDescent="0.2">
      <c r="A7504" t="s">
        <v>6889</v>
      </c>
      <c r="B7504" s="1">
        <v>1093207</v>
      </c>
      <c r="C7504" s="1">
        <v>3577</v>
      </c>
      <c r="D7504" s="2">
        <v>42382</v>
      </c>
      <c r="E7504" s="1" t="s">
        <v>18</v>
      </c>
      <c r="F7504" t="str">
        <f>HYPERLINK("http://www.sec.gov/Archives/edgar/data/1093207/0001144204-16-075409-index.html")</f>
        <v>http://www.sec.gov/Archives/edgar/data/1093207/0001144204-16-075409-index.html</v>
      </c>
    </row>
    <row r="7505" spans="1:6" x14ac:dyDescent="0.2">
      <c r="A7505" t="s">
        <v>6890</v>
      </c>
      <c r="B7505" s="1">
        <v>1093430</v>
      </c>
      <c r="C7505" s="1">
        <v>4400</v>
      </c>
      <c r="D7505" s="2">
        <v>42382</v>
      </c>
      <c r="E7505" s="1" t="s">
        <v>18</v>
      </c>
      <c r="F7505" t="str">
        <f>HYPERLINK("http://www.sec.gov/Archives/edgar/data/1093430/0001038838-16-000197-index.html")</f>
        <v>http://www.sec.gov/Archives/edgar/data/1093430/0001038838-16-000197-index.html</v>
      </c>
    </row>
    <row r="7506" spans="1:6" x14ac:dyDescent="0.2">
      <c r="A7506" t="s">
        <v>27</v>
      </c>
      <c r="B7506" s="1">
        <v>1097792</v>
      </c>
      <c r="C7506" s="1">
        <v>7389</v>
      </c>
      <c r="D7506" s="2">
        <v>42382</v>
      </c>
      <c r="E7506" s="1" t="s">
        <v>18</v>
      </c>
      <c r="F7506" t="str">
        <f>HYPERLINK("http://www.sec.gov/Archives/edgar/data/1097792/0001213900-16-010114-index.html")</f>
        <v>http://www.sec.gov/Archives/edgar/data/1097792/0001213900-16-010114-index.html</v>
      </c>
    </row>
    <row r="7507" spans="1:6" x14ac:dyDescent="0.2">
      <c r="A7507" t="s">
        <v>6891</v>
      </c>
      <c r="B7507" s="1">
        <v>1117171</v>
      </c>
      <c r="C7507" s="1">
        <v>3690</v>
      </c>
      <c r="D7507" s="2">
        <v>42382</v>
      </c>
      <c r="E7507" s="1" t="s">
        <v>18</v>
      </c>
      <c r="F7507" t="str">
        <f>HYPERLINK("http://www.sec.gov/Archives/edgar/data/1117171/0001062993-16-007059-index.html")</f>
        <v>http://www.sec.gov/Archives/edgar/data/1117171/0001062993-16-007059-index.html</v>
      </c>
    </row>
    <row r="7508" spans="1:6" x14ac:dyDescent="0.2">
      <c r="A7508" t="s">
        <v>6892</v>
      </c>
      <c r="B7508" s="1">
        <v>1122063</v>
      </c>
      <c r="C7508" s="1">
        <v>4813</v>
      </c>
      <c r="D7508" s="2">
        <v>42382</v>
      </c>
      <c r="E7508" s="1" t="s">
        <v>18</v>
      </c>
      <c r="F7508" t="str">
        <f>HYPERLINK("http://www.sec.gov/Archives/edgar/data/1122063/0001144204-16-075496-index.html")</f>
        <v>http://www.sec.gov/Archives/edgar/data/1122063/0001144204-16-075496-index.html</v>
      </c>
    </row>
    <row r="7509" spans="1:6" x14ac:dyDescent="0.2">
      <c r="A7509" t="s">
        <v>6893</v>
      </c>
      <c r="B7509" s="1">
        <v>1162816</v>
      </c>
      <c r="C7509" s="1">
        <v>3690</v>
      </c>
      <c r="D7509" s="2">
        <v>42382</v>
      </c>
      <c r="E7509" s="1" t="s">
        <v>18</v>
      </c>
      <c r="F7509" t="str">
        <f>HYPERLINK("http://www.sec.gov/Archives/edgar/data/1162816/0001513162-16-000675-index.html")</f>
        <v>http://www.sec.gov/Archives/edgar/data/1162816/0001513162-16-000675-index.html</v>
      </c>
    </row>
    <row r="7510" spans="1:6" x14ac:dyDescent="0.2">
      <c r="A7510" t="s">
        <v>6894</v>
      </c>
      <c r="B7510" s="1">
        <v>1337182</v>
      </c>
      <c r="C7510" s="1">
        <v>5812</v>
      </c>
      <c r="D7510" s="2">
        <v>42382</v>
      </c>
      <c r="E7510" s="1" t="s">
        <v>18</v>
      </c>
      <c r="F7510" t="str">
        <f>HYPERLINK("http://www.sec.gov/Archives/edgar/data/1337182/0001372167-16-000195-index.html")</f>
        <v>http://www.sec.gov/Archives/edgar/data/1337182/0001372167-16-000195-index.html</v>
      </c>
    </row>
    <row r="7511" spans="1:6" x14ac:dyDescent="0.2">
      <c r="A7511" t="s">
        <v>6763</v>
      </c>
      <c r="B7511" s="1">
        <v>1343465</v>
      </c>
      <c r="C7511" s="1">
        <v>5812</v>
      </c>
      <c r="D7511" s="2">
        <v>42382</v>
      </c>
      <c r="E7511" s="1" t="s">
        <v>18</v>
      </c>
      <c r="F7511" t="str">
        <f>HYPERLINK("http://www.sec.gov/Archives/edgar/data/1343465/0001493152-16-006765-index.html")</f>
        <v>http://www.sec.gov/Archives/edgar/data/1343465/0001493152-16-006765-index.html</v>
      </c>
    </row>
    <row r="7512" spans="1:6" x14ac:dyDescent="0.2">
      <c r="A7512" t="s">
        <v>6895</v>
      </c>
      <c r="B7512" s="1">
        <v>1362516</v>
      </c>
      <c r="C7512" s="1">
        <v>4812</v>
      </c>
      <c r="D7512" s="2">
        <v>42382</v>
      </c>
      <c r="E7512" s="1" t="s">
        <v>18</v>
      </c>
      <c r="F7512" t="str">
        <f>HYPERLINK("http://www.sec.gov/Archives/edgar/data/1362516/0001091818-16-000214-index.html")</f>
        <v>http://www.sec.gov/Archives/edgar/data/1362516/0001091818-16-000214-index.html</v>
      </c>
    </row>
    <row r="7513" spans="1:6" x14ac:dyDescent="0.2">
      <c r="A7513" t="s">
        <v>6896</v>
      </c>
      <c r="B7513" s="1">
        <v>1405660</v>
      </c>
      <c r="C7513" s="1">
        <v>4813</v>
      </c>
      <c r="D7513" s="2">
        <v>42382</v>
      </c>
      <c r="E7513" s="1" t="s">
        <v>18</v>
      </c>
      <c r="F7513" t="str">
        <f>HYPERLINK("http://www.sec.gov/Archives/edgar/data/1405660/0001019687-16-004803-index.html")</f>
        <v>http://www.sec.gov/Archives/edgar/data/1405660/0001019687-16-004803-index.html</v>
      </c>
    </row>
    <row r="7514" spans="1:6" x14ac:dyDescent="0.2">
      <c r="A7514" t="s">
        <v>3644</v>
      </c>
      <c r="B7514" s="1">
        <v>1409916</v>
      </c>
      <c r="C7514" s="1">
        <v>8062</v>
      </c>
      <c r="D7514" s="2">
        <v>42382</v>
      </c>
      <c r="E7514" s="1" t="s">
        <v>42</v>
      </c>
      <c r="F7514" t="str">
        <f>HYPERLINK("http://www.sec.gov/Archives/edgar/data/1409916/0001062993-16-007036-index.html")</f>
        <v>http://www.sec.gov/Archives/edgar/data/1409916/0001062993-16-007036-index.html</v>
      </c>
    </row>
    <row r="7515" spans="1:6" x14ac:dyDescent="0.2">
      <c r="A7515" t="s">
        <v>6897</v>
      </c>
      <c r="B7515" s="1">
        <v>1412659</v>
      </c>
      <c r="C7515" s="1">
        <v>3564</v>
      </c>
      <c r="D7515" s="2">
        <v>42382</v>
      </c>
      <c r="E7515" s="1" t="s">
        <v>18</v>
      </c>
      <c r="F7515" t="str">
        <f>HYPERLINK("http://www.sec.gov/Archives/edgar/data/1412659/0001662252-16-000036-index.html")</f>
        <v>http://www.sec.gov/Archives/edgar/data/1412659/0001662252-16-000036-index.html</v>
      </c>
    </row>
    <row r="7516" spans="1:6" x14ac:dyDescent="0.2">
      <c r="A7516" t="s">
        <v>6898</v>
      </c>
      <c r="B7516" s="1">
        <v>1419582</v>
      </c>
      <c r="C7516" s="1">
        <v>7370</v>
      </c>
      <c r="D7516" s="2">
        <v>42382</v>
      </c>
      <c r="E7516" s="1" t="s">
        <v>18</v>
      </c>
      <c r="F7516" t="str">
        <f>HYPERLINK("http://www.sec.gov/Archives/edgar/data/1419582/0001387131-16-003897-index.html")</f>
        <v>http://www.sec.gov/Archives/edgar/data/1419582/0001387131-16-003897-index.html</v>
      </c>
    </row>
    <row r="7517" spans="1:6" x14ac:dyDescent="0.2">
      <c r="A7517" t="s">
        <v>6899</v>
      </c>
      <c r="B7517" s="1">
        <v>1429896</v>
      </c>
      <c r="C7517" s="1">
        <v>3669</v>
      </c>
      <c r="D7517" s="2">
        <v>42382</v>
      </c>
      <c r="E7517" s="1" t="s">
        <v>18</v>
      </c>
      <c r="F7517" t="str">
        <f>HYPERLINK("http://www.sec.gov/Archives/edgar/data/1429896/0001096906-16-001328-index.html")</f>
        <v>http://www.sec.gov/Archives/edgar/data/1429896/0001096906-16-001328-index.html</v>
      </c>
    </row>
    <row r="7518" spans="1:6" x14ac:dyDescent="0.2">
      <c r="A7518" t="s">
        <v>2090</v>
      </c>
      <c r="B7518" s="1">
        <v>1432963</v>
      </c>
      <c r="C7518" s="1">
        <v>1389</v>
      </c>
      <c r="D7518" s="2">
        <v>42382</v>
      </c>
      <c r="E7518" s="1" t="s">
        <v>42</v>
      </c>
      <c r="F7518" t="str">
        <f>HYPERLINK("http://www.sec.gov/Archives/edgar/data/1432963/0001213900-16-010106-index.html")</f>
        <v>http://www.sec.gov/Archives/edgar/data/1432963/0001213900-16-010106-index.html</v>
      </c>
    </row>
    <row r="7519" spans="1:6" x14ac:dyDescent="0.2">
      <c r="A7519" t="s">
        <v>6900</v>
      </c>
      <c r="B7519" s="1">
        <v>1451929</v>
      </c>
      <c r="C7519" s="1">
        <v>7350</v>
      </c>
      <c r="D7519" s="2">
        <v>42382</v>
      </c>
      <c r="E7519" s="1" t="s">
        <v>18</v>
      </c>
      <c r="F7519" t="str">
        <f>HYPERLINK("http://www.sec.gov/Archives/edgar/data/1451929/0001477932-16-008031-index.html")</f>
        <v>http://www.sec.gov/Archives/edgar/data/1451929/0001477932-16-008031-index.html</v>
      </c>
    </row>
    <row r="7520" spans="1:6" x14ac:dyDescent="0.2">
      <c r="A7520" t="s">
        <v>6901</v>
      </c>
      <c r="B7520" s="1">
        <v>1452804</v>
      </c>
      <c r="C7520" s="1">
        <v>2834</v>
      </c>
      <c r="D7520" s="2">
        <v>42382</v>
      </c>
      <c r="E7520" s="1" t="s">
        <v>18</v>
      </c>
      <c r="F7520" t="str">
        <f>HYPERLINK("http://www.sec.gov/Archives/edgar/data/1452804/0001137050-16-000192-index.html")</f>
        <v>http://www.sec.gov/Archives/edgar/data/1452804/0001137050-16-000192-index.html</v>
      </c>
    </row>
    <row r="7521" spans="1:6" x14ac:dyDescent="0.2">
      <c r="A7521" t="s">
        <v>6902</v>
      </c>
      <c r="B7521" s="1">
        <v>1468679</v>
      </c>
      <c r="C7521" s="1">
        <v>8090</v>
      </c>
      <c r="D7521" s="2">
        <v>42382</v>
      </c>
      <c r="E7521" s="1" t="s">
        <v>18</v>
      </c>
      <c r="F7521" t="str">
        <f>HYPERLINK("http://www.sec.gov/Archives/edgar/data/1468679/0001019056-16-000990-index.html")</f>
        <v>http://www.sec.gov/Archives/edgar/data/1468679/0001019056-16-000990-index.html</v>
      </c>
    </row>
    <row r="7522" spans="1:6" x14ac:dyDescent="0.2">
      <c r="A7522" t="s">
        <v>6903</v>
      </c>
      <c r="B7522" s="1">
        <v>1502152</v>
      </c>
      <c r="C7522" s="1">
        <v>1311</v>
      </c>
      <c r="D7522" s="2">
        <v>42382</v>
      </c>
      <c r="E7522" s="1" t="s">
        <v>18</v>
      </c>
      <c r="F7522" t="str">
        <f>HYPERLINK("http://www.sec.gov/Archives/edgar/data/1502152/0001161697-16-000620-index.html")</f>
        <v>http://www.sec.gov/Archives/edgar/data/1502152/0001161697-16-000620-index.html</v>
      </c>
    </row>
    <row r="7523" spans="1:6" x14ac:dyDescent="0.2">
      <c r="A7523" t="s">
        <v>6904</v>
      </c>
      <c r="B7523" s="1">
        <v>1502966</v>
      </c>
      <c r="C7523" s="1">
        <v>8742</v>
      </c>
      <c r="D7523" s="2">
        <v>42382</v>
      </c>
      <c r="E7523" s="1" t="s">
        <v>18</v>
      </c>
      <c r="F7523" t="str">
        <f>HYPERLINK("http://www.sec.gov/Archives/edgar/data/1502966/0001493152-16-006768-index.html")</f>
        <v>http://www.sec.gov/Archives/edgar/data/1502966/0001493152-16-006768-index.html</v>
      </c>
    </row>
    <row r="7524" spans="1:6" x14ac:dyDescent="0.2">
      <c r="A7524" t="s">
        <v>6905</v>
      </c>
      <c r="B7524" s="1">
        <v>1504876</v>
      </c>
      <c r="C7524" s="1">
        <v>6770</v>
      </c>
      <c r="D7524" s="2">
        <v>42382</v>
      </c>
      <c r="E7524" s="1" t="s">
        <v>18</v>
      </c>
      <c r="F7524" t="str">
        <f>HYPERLINK("http://www.sec.gov/Archives/edgar/data/1504876/0001213900-16-010112-index.html")</f>
        <v>http://www.sec.gov/Archives/edgar/data/1504876/0001213900-16-010112-index.html</v>
      </c>
    </row>
    <row r="7525" spans="1:6" x14ac:dyDescent="0.2">
      <c r="A7525" t="s">
        <v>6906</v>
      </c>
      <c r="B7525" s="1">
        <v>1508348</v>
      </c>
      <c r="C7525" s="1">
        <v>8742</v>
      </c>
      <c r="D7525" s="2">
        <v>42382</v>
      </c>
      <c r="E7525" s="1" t="s">
        <v>18</v>
      </c>
      <c r="F7525" t="str">
        <f>HYPERLINK("http://www.sec.gov/Archives/edgar/data/1508348/0001127855-16-000506-index.html")</f>
        <v>http://www.sec.gov/Archives/edgar/data/1508348/0001127855-16-000506-index.html</v>
      </c>
    </row>
    <row r="7526" spans="1:6" x14ac:dyDescent="0.2">
      <c r="A7526" t="s">
        <v>506</v>
      </c>
      <c r="B7526" s="1">
        <v>1571919</v>
      </c>
      <c r="C7526" s="1">
        <v>8742</v>
      </c>
      <c r="D7526" s="2">
        <v>42382</v>
      </c>
      <c r="E7526" s="1" t="s">
        <v>18</v>
      </c>
      <c r="F7526" t="str">
        <f>HYPERLINK("http://www.sec.gov/Archives/edgar/data/1571919/0001078782-16-002165-index.html")</f>
        <v>http://www.sec.gov/Archives/edgar/data/1571919/0001078782-16-002165-index.html</v>
      </c>
    </row>
    <row r="7527" spans="1:6" x14ac:dyDescent="0.2">
      <c r="A7527" t="s">
        <v>31</v>
      </c>
      <c r="B7527" s="1">
        <v>1591565</v>
      </c>
      <c r="C7527" s="1">
        <v>5200</v>
      </c>
      <c r="D7527" s="2">
        <v>42382</v>
      </c>
      <c r="E7527" s="1" t="s">
        <v>18</v>
      </c>
      <c r="F7527" t="str">
        <f>HYPERLINK("http://www.sec.gov/Archives/edgar/data/1591565/0001640334-16-000537-index.html")</f>
        <v>http://www.sec.gov/Archives/edgar/data/1591565/0001640334-16-000537-index.html</v>
      </c>
    </row>
    <row r="7528" spans="1:6" x14ac:dyDescent="0.2">
      <c r="A7528" t="s">
        <v>2098</v>
      </c>
      <c r="B7528" s="1">
        <v>1614466</v>
      </c>
      <c r="C7528" s="1">
        <v>1400</v>
      </c>
      <c r="D7528" s="2">
        <v>42382</v>
      </c>
      <c r="E7528" s="1" t="s">
        <v>18</v>
      </c>
      <c r="F7528" t="str">
        <f>HYPERLINK("http://www.sec.gov/Archives/edgar/data/1614466/0001477932-16-008033-index.html")</f>
        <v>http://www.sec.gov/Archives/edgar/data/1614466/0001477932-16-008033-index.html</v>
      </c>
    </row>
    <row r="7529" spans="1:6" x14ac:dyDescent="0.2">
      <c r="A7529" t="s">
        <v>6907</v>
      </c>
      <c r="B7529" s="1">
        <v>1635538</v>
      </c>
      <c r="C7529" s="1">
        <v>5190</v>
      </c>
      <c r="D7529" s="2">
        <v>42382</v>
      </c>
      <c r="E7529" s="1" t="s">
        <v>18</v>
      </c>
      <c r="F7529" t="str">
        <f>HYPERLINK("http://www.sec.gov/Archives/edgar/data/1635538/0001144204-16-075446-index.html")</f>
        <v>http://www.sec.gov/Archives/edgar/data/1635538/0001144204-16-075446-index.html</v>
      </c>
    </row>
    <row r="7530" spans="1:6" x14ac:dyDescent="0.2">
      <c r="A7530" t="s">
        <v>5094</v>
      </c>
      <c r="B7530" s="1">
        <v>317889</v>
      </c>
      <c r="C7530" s="1">
        <v>5084</v>
      </c>
      <c r="D7530" s="2">
        <v>42382</v>
      </c>
      <c r="E7530" s="1" t="s">
        <v>18</v>
      </c>
      <c r="F7530" t="str">
        <f>HYPERLINK("http://www.sec.gov/Archives/edgar/data/317889/0001437749-16-023591-index.html")</f>
        <v>http://www.sec.gov/Archives/edgar/data/317889/0001437749-16-023591-index.html</v>
      </c>
    </row>
    <row r="7531" spans="1:6" x14ac:dyDescent="0.2">
      <c r="A7531" t="s">
        <v>6908</v>
      </c>
      <c r="B7531" s="1">
        <v>357001</v>
      </c>
      <c r="C7531" s="1">
        <v>3845</v>
      </c>
      <c r="D7531" s="2">
        <v>42382</v>
      </c>
      <c r="E7531" s="1" t="s">
        <v>18</v>
      </c>
      <c r="F7531" t="str">
        <f>HYPERLINK("http://www.sec.gov/Archives/edgar/data/357001/0001019687-16-004789-index.html")</f>
        <v>http://www.sec.gov/Archives/edgar/data/357001/0001019687-16-004789-index.html</v>
      </c>
    </row>
    <row r="7532" spans="1:6" x14ac:dyDescent="0.2">
      <c r="A7532" t="s">
        <v>3742</v>
      </c>
      <c r="B7532" s="1">
        <v>840715</v>
      </c>
      <c r="C7532" s="1">
        <v>3661</v>
      </c>
      <c r="D7532" s="2">
        <v>42382</v>
      </c>
      <c r="E7532" s="1" t="s">
        <v>42</v>
      </c>
      <c r="F7532" t="str">
        <f>HYPERLINK("http://www.sec.gov/Archives/edgar/data/840715/0000840715-16-000059-index.html")</f>
        <v>http://www.sec.gov/Archives/edgar/data/840715/0000840715-16-000059-index.html</v>
      </c>
    </row>
    <row r="7533" spans="1:6" x14ac:dyDescent="0.2">
      <c r="A7533" t="s">
        <v>6909</v>
      </c>
      <c r="B7533" s="1">
        <v>845819</v>
      </c>
      <c r="C7533" s="1">
        <v>1311</v>
      </c>
      <c r="D7533" s="2">
        <v>42382</v>
      </c>
      <c r="E7533" s="1" t="s">
        <v>18</v>
      </c>
      <c r="F7533" t="str">
        <f>HYPERLINK("http://www.sec.gov/Archives/edgar/data/845819/0001515971-16-000420-index.html")</f>
        <v>http://www.sec.gov/Archives/edgar/data/845819/0001515971-16-000420-index.html</v>
      </c>
    </row>
    <row r="7534" spans="1:6" x14ac:dyDescent="0.2">
      <c r="A7534" t="s">
        <v>6910</v>
      </c>
      <c r="B7534" s="1">
        <v>1191359</v>
      </c>
      <c r="C7534" s="1">
        <v>1381</v>
      </c>
      <c r="D7534" s="2">
        <v>42381</v>
      </c>
      <c r="E7534" s="1" t="s">
        <v>18</v>
      </c>
      <c r="F7534" t="str">
        <f>HYPERLINK("http://www.sec.gov/Archives/edgar/data/1191359/0001062993-16-007029-index.html")</f>
        <v>http://www.sec.gov/Archives/edgar/data/1191359/0001062993-16-007029-index.html</v>
      </c>
    </row>
    <row r="7535" spans="1:6" x14ac:dyDescent="0.2">
      <c r="A7535" t="s">
        <v>6911</v>
      </c>
      <c r="B7535" s="1">
        <v>1539778</v>
      </c>
      <c r="C7535" s="1">
        <v>100</v>
      </c>
      <c r="D7535" s="2">
        <v>42381</v>
      </c>
      <c r="E7535" s="1" t="s">
        <v>18</v>
      </c>
      <c r="F7535" t="str">
        <f>HYPERLINK("http://www.sec.gov/Archives/edgar/data/1539778/0001477932-16-007985-index.html")</f>
        <v>http://www.sec.gov/Archives/edgar/data/1539778/0001477932-16-007985-index.html</v>
      </c>
    </row>
    <row r="7536" spans="1:6" x14ac:dyDescent="0.2">
      <c r="A7536" t="s">
        <v>32</v>
      </c>
      <c r="B7536" s="1">
        <v>1621697</v>
      </c>
      <c r="C7536" s="1">
        <v>7374</v>
      </c>
      <c r="D7536" s="2">
        <v>42381</v>
      </c>
      <c r="E7536" s="1" t="s">
        <v>18</v>
      </c>
      <c r="F7536" t="str">
        <f>HYPERLINK("http://www.sec.gov/Archives/edgar/data/1621697/0001165527-16-000626-index.html")</f>
        <v>http://www.sec.gov/Archives/edgar/data/1621697/0001165527-16-000626-index.html</v>
      </c>
    </row>
    <row r="7537" spans="1:6" x14ac:dyDescent="0.2">
      <c r="A7537" t="s">
        <v>6912</v>
      </c>
      <c r="B7537" s="1">
        <v>1135202</v>
      </c>
      <c r="C7537" s="1">
        <v>1000</v>
      </c>
      <c r="D7537" s="2">
        <v>42380</v>
      </c>
      <c r="E7537" s="1" t="s">
        <v>18</v>
      </c>
      <c r="F7537" t="str">
        <f>HYPERLINK("http://www.sec.gov/Archives/edgar/data/1135202/0001076542-16-000203-index.html")</f>
        <v>http://www.sec.gov/Archives/edgar/data/1135202/0001076542-16-000203-index.html</v>
      </c>
    </row>
    <row r="7538" spans="1:6" x14ac:dyDescent="0.2">
      <c r="A7538" t="s">
        <v>6913</v>
      </c>
      <c r="B7538" s="1">
        <v>1342423</v>
      </c>
      <c r="C7538" s="1">
        <v>100</v>
      </c>
      <c r="D7538" s="2">
        <v>42380</v>
      </c>
      <c r="E7538" s="1" t="s">
        <v>18</v>
      </c>
      <c r="F7538" t="str">
        <f>HYPERLINK("http://www.sec.gov/Archives/edgar/data/1342423/0001144204-16-075110-index.html")</f>
        <v>http://www.sec.gov/Archives/edgar/data/1342423/0001144204-16-075110-index.html</v>
      </c>
    </row>
    <row r="7539" spans="1:6" x14ac:dyDescent="0.2">
      <c r="A7539" t="s">
        <v>6870</v>
      </c>
      <c r="B7539" s="1">
        <v>1590565</v>
      </c>
      <c r="C7539" s="1">
        <v>3663</v>
      </c>
      <c r="D7539" s="2">
        <v>42380</v>
      </c>
      <c r="E7539" s="1" t="s">
        <v>18</v>
      </c>
      <c r="F7539" t="str">
        <f>HYPERLINK("http://www.sec.gov/Archives/edgar/data/1590565/0001493152-16-006743-index.html")</f>
        <v>http://www.sec.gov/Archives/edgar/data/1590565/0001493152-16-006743-index.html</v>
      </c>
    </row>
    <row r="7540" spans="1:6" x14ac:dyDescent="0.2">
      <c r="A7540" t="s">
        <v>434</v>
      </c>
      <c r="B7540" s="1">
        <v>1610853</v>
      </c>
      <c r="C7540" s="1">
        <v>3845</v>
      </c>
      <c r="D7540" s="2">
        <v>42380</v>
      </c>
      <c r="E7540" s="1" t="s">
        <v>42</v>
      </c>
      <c r="F7540" t="str">
        <f>HYPERLINK("http://www.sec.gov/Archives/edgar/data/1610853/0001062993-16-006981-index.html")</f>
        <v>http://www.sec.gov/Archives/edgar/data/1610853/0001062993-16-006981-index.html</v>
      </c>
    </row>
    <row r="7541" spans="1:6" x14ac:dyDescent="0.2">
      <c r="A7541" t="s">
        <v>136</v>
      </c>
      <c r="B7541" s="1">
        <v>1039466</v>
      </c>
      <c r="C7541" s="1">
        <v>3081</v>
      </c>
      <c r="D7541" s="2">
        <v>42377</v>
      </c>
      <c r="E7541" s="1" t="s">
        <v>18</v>
      </c>
      <c r="F7541" t="str">
        <f>HYPERLINK("http://www.sec.gov/Archives/edgar/data/1039466/0001185185-16-003424-index.html")</f>
        <v>http://www.sec.gov/Archives/edgar/data/1039466/0001185185-16-003424-index.html</v>
      </c>
    </row>
    <row r="7542" spans="1:6" x14ac:dyDescent="0.2">
      <c r="A7542" t="s">
        <v>6914</v>
      </c>
      <c r="B7542" s="1">
        <v>1083848</v>
      </c>
      <c r="C7542" s="1">
        <v>1000</v>
      </c>
      <c r="D7542" s="2">
        <v>42377</v>
      </c>
      <c r="E7542" s="1" t="s">
        <v>42</v>
      </c>
      <c r="F7542" t="str">
        <f>HYPERLINK("http://www.sec.gov/Archives/edgar/data/1083848/0001019687-16-004760-index.html")</f>
        <v>http://www.sec.gov/Archives/edgar/data/1083848/0001019687-16-004760-index.html</v>
      </c>
    </row>
    <row r="7543" spans="1:6" x14ac:dyDescent="0.2">
      <c r="A7543" t="s">
        <v>6915</v>
      </c>
      <c r="B7543" s="1">
        <v>1100397</v>
      </c>
      <c r="C7543" s="1">
        <v>2834</v>
      </c>
      <c r="D7543" s="2">
        <v>42377</v>
      </c>
      <c r="E7543" s="1" t="s">
        <v>18</v>
      </c>
      <c r="F7543" t="str">
        <f>HYPERLINK("http://www.sec.gov/Archives/edgar/data/1100397/0001493152-16-006703-index.html")</f>
        <v>http://www.sec.gov/Archives/edgar/data/1100397/0001493152-16-006703-index.html</v>
      </c>
    </row>
    <row r="7544" spans="1:6" x14ac:dyDescent="0.2">
      <c r="A7544" t="s">
        <v>1138</v>
      </c>
      <c r="B7544" s="1">
        <v>1518171</v>
      </c>
      <c r="C7544" s="1">
        <v>7372</v>
      </c>
      <c r="D7544" s="2">
        <v>42377</v>
      </c>
      <c r="E7544" s="1" t="s">
        <v>18</v>
      </c>
      <c r="F7544" t="str">
        <f>HYPERLINK("http://www.sec.gov/Archives/edgar/data/1518171/0001294606-16-000203-index.html")</f>
        <v>http://www.sec.gov/Archives/edgar/data/1518171/0001294606-16-000203-index.html</v>
      </c>
    </row>
    <row r="7545" spans="1:6" x14ac:dyDescent="0.2">
      <c r="A7545" t="s">
        <v>878</v>
      </c>
      <c r="B7545" s="1">
        <v>1520007</v>
      </c>
      <c r="C7545" s="1">
        <v>5070</v>
      </c>
      <c r="D7545" s="2">
        <v>42377</v>
      </c>
      <c r="E7545" s="1" t="s">
        <v>42</v>
      </c>
      <c r="F7545" t="str">
        <f>HYPERLINK("http://www.sec.gov/Archives/edgar/data/1520007/0001062993-16-006969-index.html")</f>
        <v>http://www.sec.gov/Archives/edgar/data/1520007/0001062993-16-006969-index.html</v>
      </c>
    </row>
    <row r="7546" spans="1:6" x14ac:dyDescent="0.2">
      <c r="A7546" t="s">
        <v>1838</v>
      </c>
      <c r="B7546" s="1">
        <v>1591165</v>
      </c>
      <c r="C7546" s="1">
        <v>3841</v>
      </c>
      <c r="D7546" s="2">
        <v>42377</v>
      </c>
      <c r="E7546" s="1" t="s">
        <v>42</v>
      </c>
      <c r="F7546" t="str">
        <f>HYPERLINK("http://www.sec.gov/Archives/edgar/data/1591165/0001415889-16-004344-index.html")</f>
        <v>http://www.sec.gov/Archives/edgar/data/1591165/0001415889-16-004344-index.html</v>
      </c>
    </row>
    <row r="7547" spans="1:6" x14ac:dyDescent="0.2">
      <c r="A7547" t="s">
        <v>6916</v>
      </c>
      <c r="B7547" s="1">
        <v>315374</v>
      </c>
      <c r="C7547" s="1">
        <v>3823</v>
      </c>
      <c r="D7547" s="2">
        <v>42377</v>
      </c>
      <c r="E7547" s="1" t="s">
        <v>18</v>
      </c>
      <c r="F7547" t="str">
        <f>HYPERLINK("http://www.sec.gov/Archives/edgar/data/315374/0001144204-16-074937-index.html")</f>
        <v>http://www.sec.gov/Archives/edgar/data/315374/0001144204-16-074937-index.html</v>
      </c>
    </row>
    <row r="7548" spans="1:6" x14ac:dyDescent="0.2">
      <c r="A7548" t="s">
        <v>6917</v>
      </c>
      <c r="B7548" s="1">
        <v>886128</v>
      </c>
      <c r="C7548" s="1">
        <v>3690</v>
      </c>
      <c r="D7548" s="2">
        <v>42377</v>
      </c>
      <c r="E7548" s="1" t="s">
        <v>18</v>
      </c>
      <c r="F7548" t="str">
        <f>HYPERLINK("http://www.sec.gov/Archives/edgar/data/886128/0000886128-16-000032-index.html")</f>
        <v>http://www.sec.gov/Archives/edgar/data/886128/0000886128-16-000032-index.html</v>
      </c>
    </row>
    <row r="7549" spans="1:6" x14ac:dyDescent="0.2">
      <c r="A7549" t="s">
        <v>2959</v>
      </c>
      <c r="B7549" s="1">
        <v>924719</v>
      </c>
      <c r="C7549" s="1">
        <v>3272</v>
      </c>
      <c r="D7549" s="2">
        <v>42377</v>
      </c>
      <c r="E7549" s="1" t="s">
        <v>42</v>
      </c>
      <c r="F7549" t="str">
        <f>HYPERLINK("http://www.sec.gov/Archives/edgar/data/924719/0000924719-16-000041-index.html")</f>
        <v>http://www.sec.gov/Archives/edgar/data/924719/0000924719-16-000041-index.html</v>
      </c>
    </row>
    <row r="7550" spans="1:6" x14ac:dyDescent="0.2">
      <c r="A7550" t="s">
        <v>6914</v>
      </c>
      <c r="B7550" s="1">
        <v>1083848</v>
      </c>
      <c r="C7550" s="1">
        <v>1000</v>
      </c>
      <c r="D7550" s="2">
        <v>42376</v>
      </c>
      <c r="E7550" s="1" t="s">
        <v>18</v>
      </c>
      <c r="F7550" t="str">
        <f>HYPERLINK("http://www.sec.gov/Archives/edgar/data/1083848/0001019687-16-004735-index.html")</f>
        <v>http://www.sec.gov/Archives/edgar/data/1083848/0001019687-16-004735-index.html</v>
      </c>
    </row>
    <row r="7551" spans="1:6" x14ac:dyDescent="0.2">
      <c r="A7551" t="s">
        <v>3225</v>
      </c>
      <c r="B7551" s="1">
        <v>1228386</v>
      </c>
      <c r="C7551" s="1">
        <v>8742</v>
      </c>
      <c r="D7551" s="2">
        <v>42376</v>
      </c>
      <c r="E7551" s="1" t="s">
        <v>18</v>
      </c>
      <c r="F7551" t="str">
        <f>HYPERLINK("http://www.sec.gov/Archives/edgar/data/1228386/0001017386-16-000333-index.html")</f>
        <v>http://www.sec.gov/Archives/edgar/data/1228386/0001017386-16-000333-index.html</v>
      </c>
    </row>
    <row r="7552" spans="1:6" x14ac:dyDescent="0.2">
      <c r="A7552" t="s">
        <v>164</v>
      </c>
      <c r="B7552" s="1">
        <v>1343009</v>
      </c>
      <c r="C7552" s="1">
        <v>1000</v>
      </c>
      <c r="D7552" s="2">
        <v>42376</v>
      </c>
      <c r="E7552" s="1" t="s">
        <v>18</v>
      </c>
      <c r="F7552" t="str">
        <f>HYPERLINK("http://www.sec.gov/Archives/edgar/data/1343009/0001019687-16-004727-index.html")</f>
        <v>http://www.sec.gov/Archives/edgar/data/1343009/0001019687-16-004727-index.html</v>
      </c>
    </row>
    <row r="7553" spans="1:6" x14ac:dyDescent="0.2">
      <c r="A7553" t="s">
        <v>6918</v>
      </c>
      <c r="B7553" s="1">
        <v>1631001</v>
      </c>
      <c r="C7553" s="1">
        <v>3640</v>
      </c>
      <c r="D7553" s="2">
        <v>42376</v>
      </c>
      <c r="E7553" s="1" t="s">
        <v>18</v>
      </c>
      <c r="F7553" t="str">
        <f>HYPERLINK("http://www.sec.gov/Archives/edgar/data/1631001/0001640334-16-000524-index.html")</f>
        <v>http://www.sec.gov/Archives/edgar/data/1631001/0001640334-16-000524-index.html</v>
      </c>
    </row>
    <row r="7554" spans="1:6" x14ac:dyDescent="0.2">
      <c r="A7554" t="s">
        <v>6919</v>
      </c>
      <c r="B7554" s="1">
        <v>810136</v>
      </c>
      <c r="C7554" s="1">
        <v>3674</v>
      </c>
      <c r="D7554" s="2">
        <v>42376</v>
      </c>
      <c r="E7554" s="1" t="s">
        <v>18</v>
      </c>
      <c r="F7554" t="str">
        <f>HYPERLINK("http://www.sec.gov/Archives/edgar/data/810136/0001140361-16-047150-index.html")</f>
        <v>http://www.sec.gov/Archives/edgar/data/810136/0001140361-16-047150-index.html</v>
      </c>
    </row>
    <row r="7555" spans="1:6" x14ac:dyDescent="0.2">
      <c r="A7555" t="s">
        <v>80</v>
      </c>
      <c r="B7555" s="1">
        <v>1354591</v>
      </c>
      <c r="C7555" s="1">
        <v>2860</v>
      </c>
      <c r="D7555" s="2">
        <v>42375</v>
      </c>
      <c r="E7555" s="1" t="s">
        <v>42</v>
      </c>
      <c r="F7555" t="str">
        <f>HYPERLINK("http://www.sec.gov/Archives/edgar/data/1354591/0001493152-16-006631-index.html")</f>
        <v>http://www.sec.gov/Archives/edgar/data/1354591/0001493152-16-006631-index.html</v>
      </c>
    </row>
    <row r="7556" spans="1:6" x14ac:dyDescent="0.2">
      <c r="A7556" t="s">
        <v>1464</v>
      </c>
      <c r="B7556" s="1">
        <v>1514888</v>
      </c>
      <c r="C7556" s="1">
        <v>3290</v>
      </c>
      <c r="D7556" s="2">
        <v>42375</v>
      </c>
      <c r="E7556" s="1" t="s">
        <v>42</v>
      </c>
      <c r="F7556" t="str">
        <f>HYPERLINK("http://www.sec.gov/Archives/edgar/data/1514888/0001511164-16-000595-index.html")</f>
        <v>http://www.sec.gov/Archives/edgar/data/1514888/0001511164-16-000595-index.html</v>
      </c>
    </row>
    <row r="7557" spans="1:6" x14ac:dyDescent="0.2">
      <c r="A7557" t="s">
        <v>6920</v>
      </c>
      <c r="B7557" s="1">
        <v>1581312</v>
      </c>
      <c r="C7557" s="1">
        <v>1382</v>
      </c>
      <c r="D7557" s="2">
        <v>42375</v>
      </c>
      <c r="E7557" s="1" t="s">
        <v>18</v>
      </c>
      <c r="F7557" t="str">
        <f>HYPERLINK("http://www.sec.gov/Archives/edgar/data/1581312/0001354488-16-005803-index.html")</f>
        <v>http://www.sec.gov/Archives/edgar/data/1581312/0001354488-16-005803-index.html</v>
      </c>
    </row>
    <row r="7558" spans="1:6" x14ac:dyDescent="0.2">
      <c r="A7558" t="s">
        <v>112</v>
      </c>
      <c r="B7558" s="1">
        <v>1133798</v>
      </c>
      <c r="C7558" s="1">
        <v>5084</v>
      </c>
      <c r="D7558" s="2">
        <v>42374</v>
      </c>
      <c r="E7558" s="1" t="s">
        <v>42</v>
      </c>
      <c r="F7558" t="str">
        <f>HYPERLINK("http://www.sec.gov/Archives/edgar/data/1133798/0001571049-16-010505-index.html")</f>
        <v>http://www.sec.gov/Archives/edgar/data/1133798/0001571049-16-010505-index.html</v>
      </c>
    </row>
    <row r="7559" spans="1:6" x14ac:dyDescent="0.2">
      <c r="A7559" t="s">
        <v>53</v>
      </c>
      <c r="B7559" s="1">
        <v>1325740</v>
      </c>
      <c r="C7559" s="1">
        <v>2860</v>
      </c>
      <c r="D7559" s="2">
        <v>42374</v>
      </c>
      <c r="E7559" s="1" t="s">
        <v>18</v>
      </c>
      <c r="F7559" t="str">
        <f>HYPERLINK("http://www.sec.gov/Archives/edgar/data/1325740/0001193125-16-421487-index.html")</f>
        <v>http://www.sec.gov/Archives/edgar/data/1325740/0001193125-16-421487-index.html</v>
      </c>
    </row>
    <row r="7560" spans="1:6" x14ac:dyDescent="0.2">
      <c r="A7560" t="s">
        <v>80</v>
      </c>
      <c r="B7560" s="1">
        <v>1354591</v>
      </c>
      <c r="C7560" s="1">
        <v>2860</v>
      </c>
      <c r="D7560" s="2">
        <v>42374</v>
      </c>
      <c r="E7560" s="1" t="s">
        <v>18</v>
      </c>
      <c r="F7560" t="str">
        <f>HYPERLINK("http://www.sec.gov/Archives/edgar/data/1354591/0001493152-16-006570-index.html")</f>
        <v>http://www.sec.gov/Archives/edgar/data/1354591/0001493152-16-006570-index.html</v>
      </c>
    </row>
    <row r="7561" spans="1:6" x14ac:dyDescent="0.2">
      <c r="A7561" t="s">
        <v>77</v>
      </c>
      <c r="B7561" s="1">
        <v>822370</v>
      </c>
      <c r="C7561" s="1">
        <v>8090</v>
      </c>
      <c r="D7561" s="2">
        <v>42374</v>
      </c>
      <c r="E7561" s="1" t="s">
        <v>18</v>
      </c>
      <c r="F7561" t="str">
        <f>HYPERLINK("http://www.sec.gov/Archives/edgar/data/822370/0001615774-16-003804-index.html")</f>
        <v>http://www.sec.gov/Archives/edgar/data/822370/0001615774-16-003804-index.html</v>
      </c>
    </row>
    <row r="7562" spans="1:6" x14ac:dyDescent="0.2">
      <c r="A7562" t="s">
        <v>1112</v>
      </c>
      <c r="B7562" s="1">
        <v>1576724</v>
      </c>
      <c r="C7562" s="1">
        <v>7372</v>
      </c>
      <c r="D7562" s="2">
        <v>42373</v>
      </c>
      <c r="E7562" s="1" t="s">
        <v>42</v>
      </c>
      <c r="F7562" t="str">
        <f>HYPERLINK("http://www.sec.gov/Archives/edgar/data/1576724/0001165527-16-000622-index.html")</f>
        <v>http://www.sec.gov/Archives/edgar/data/1576724/0001165527-16-000622-index.html</v>
      </c>
    </row>
    <row r="7563" spans="1:6" x14ac:dyDescent="0.2">
      <c r="A7563" t="s">
        <v>1568</v>
      </c>
      <c r="B7563" s="1">
        <v>763950</v>
      </c>
      <c r="C7563" s="1">
        <v>3823</v>
      </c>
      <c r="D7563" s="2">
        <v>42373</v>
      </c>
      <c r="E7563" s="1" t="s">
        <v>18</v>
      </c>
      <c r="F7563" t="str">
        <f>HYPERLINK("http://www.sec.gov/Archives/edgar/data/763950/0001078782-16-002107-index.html")</f>
        <v>http://www.sec.gov/Archives/edgar/data/763950/0001078782-16-002107-index.html</v>
      </c>
    </row>
    <row r="7564" spans="1:6" x14ac:dyDescent="0.2">
      <c r="A7564" t="s">
        <v>1112</v>
      </c>
      <c r="B7564" s="1">
        <v>1576724</v>
      </c>
      <c r="C7564" s="1">
        <v>7372</v>
      </c>
      <c r="D7564" s="2">
        <v>42373</v>
      </c>
      <c r="E7564" s="1" t="s">
        <v>42</v>
      </c>
      <c r="F7564" t="str">
        <f>HYPERLINK("http://www.sec.gov/Archives/edgar/data/1576724/0001165527-16-000622-index.html")</f>
        <v>http://www.sec.gov/Archives/edgar/data/1576724/0001165527-16-000622-index.html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2017-05-21T00:20:02Z</dcterms:created>
  <dcterms:modified xsi:type="dcterms:W3CDTF">2017-05-21T00:20:36Z</dcterms:modified>
</cp:coreProperties>
</file>